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_rels/sheet7.xml.rels" ContentType="application/vnd.openxmlformats-package.relationships+xml"/>
  <Override PartName="/xl/worksheets/_rels/sheet6.xml.rels" ContentType="application/vnd.openxmlformats-package.relationships+xml"/>
  <Override PartName="/xl/worksheets/_rels/sheet5.xml.rels" ContentType="application/vnd.openxmlformats-package.relationships+xml"/>
  <Override PartName="/xl/worksheets/_rels/sheet4.xml.rels" ContentType="application/vnd.openxmlformats-package.relationships+xml"/>
  <Override PartName="/xl/worksheets/_rels/sheet3.xml.rels" ContentType="application/vnd.openxmlformats-package.relationships+xml"/>
  <Override PartName="/xl/worksheets/sheet8.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_rels/drawing5.xml.rels" ContentType="application/vnd.openxmlformats-package.relationships+xml"/>
  <Override PartName="/xl/drawings/_rels/drawing4.xml.rels" ContentType="application/vnd.openxmlformats-package.relationships+xml"/>
  <Override PartName="/xl/drawings/_rels/drawing3.xml.rels" ContentType="application/vnd.openxmlformats-package.relationships+xml"/>
  <Override PartName="/xl/drawings/_rels/drawing2.xml.rels" ContentType="application/vnd.openxmlformats-package.relationships+xml"/>
  <Override PartName="/xl/drawings/_rels/drawing1.xml.rels" ContentType="application/vnd.openxmlformats-package.relationship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Start_Here" sheetId="1" state="visible" r:id="rId3"/>
    <sheet name="1_Inputs" sheetId="2" state="visible" r:id="rId4"/>
    <sheet name="2_Buy_Put" sheetId="3" state="visible" r:id="rId5"/>
    <sheet name="3_Sell_Call" sheetId="4" state="visible" r:id="rId6"/>
    <sheet name="4_Smile_vs_Frown" sheetId="5" state="visible" r:id="rId7"/>
    <sheet name="5_Gamma_vs_Theta" sheetId="6" state="visible" r:id="rId8"/>
    <sheet name="6_Vol_Strategies" sheetId="7" state="visible" r:id="rId9"/>
    <sheet name="Glossary" sheetId="8" state="visible" r:id="rId10"/>
  </sheets>
  <definedNames>
    <definedName function="false" hidden="false" name="Call_Delta" vbProcedure="false">1_Inputs!$B$18</definedName>
    <definedName function="false" hidden="false" name="Call_Gamma" vbProcedure="false">1_Inputs!$B$19</definedName>
    <definedName function="false" hidden="false" name="Call_Price" vbProcedure="false">1_Inputs!$B$17</definedName>
    <definedName function="false" hidden="false" name="Call_Theta" vbProcedure="false">1_Inputs!$B$20</definedName>
    <definedName function="false" hidden="false" name="Call_Vega" vbProcedure="false">1_Inputs!$B$21</definedName>
    <definedName function="false" hidden="false" name="Days" vbProcedure="false">1_Inputs!$B$8</definedName>
    <definedName function="false" hidden="false" name="Put_Delta" vbProcedure="false">1_Inputs!$C$18</definedName>
    <definedName function="false" hidden="false" name="Put_Gamma" vbProcedure="false">1_Inputs!$C$19</definedName>
    <definedName function="false" hidden="false" name="Put_Price" vbProcedure="false">1_Inputs!$C$17</definedName>
    <definedName function="false" hidden="false" name="Put_Theta" vbProcedure="false">1_Inputs!$C$20</definedName>
    <definedName function="false" hidden="false" name="Put_Vega" vbProcedure="false">1_Inputs!$C$21</definedName>
    <definedName function="false" hidden="false" name="Rate" vbProcedure="false">1_Inputs!$B$10</definedName>
    <definedName function="false" hidden="false" name="Spot" vbProcedure="false">1_Inputs!$B$5</definedName>
    <definedName function="false" hidden="false" name="Strike_Call" vbProcedure="false">1_Inputs!$B$7</definedName>
    <definedName function="false" hidden="false" name="Strike_Put" vbProcedure="false">1_Inputs!$B$6</definedName>
    <definedName function="false" hidden="false" name="T_years" vbProcedure="false">1_Inputs!$B$11</definedName>
    <definedName function="false" hidden="false" name="Vol" vbProcedure="false">1_Inputs!$B$9</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<sst xmlns="http://schemas.openxmlformats.org/spreadsheetml/2006/main" count="267" uniqueCount="220">
  <si>
    <t xml:space="preserve">Options made simple: gamma, convexity and betting on volatility</t>
  </si>
  <si>
    <t xml:space="preserve">Companion Excel file to the SimTrade post by Romil SOJITRA (IIT Kanpur). All numbers are illustrative, not real trades.</t>
  </si>
  <si>
    <t xml:space="preserve">How to use this file (3 steps)</t>
  </si>
  <si>
    <t xml:space="preserve">Step 1</t>
  </si>
  <si>
    <t xml:space="preserve">Go to sheet 1_Inputs and change a YELLOW cell (for example the volatility).</t>
  </si>
  <si>
    <t xml:space="preserve">Step 2</t>
  </si>
  <si>
    <t xml:space="preserve">Every GREEN cell and every chart updates by itself. Nothing else needs to be typed.</t>
  </si>
  <si>
    <t xml:space="preserve">Step 3</t>
  </si>
  <si>
    <t xml:space="preserve">Read the BLUE boxes: they explain each picture in simple words.</t>
  </si>
  <si>
    <t xml:space="preserve">Colour code</t>
  </si>
  <si>
    <t xml:space="preserve">Yellow</t>
  </si>
  <si>
    <t xml:space="preserve">You can change it (input).</t>
  </si>
  <si>
    <t xml:space="preserve">Green</t>
  </si>
  <si>
    <t xml:space="preserve">Answer computed by a formula. Do not type here.</t>
  </si>
  <si>
    <t xml:space="preserve">Blue</t>
  </si>
  <si>
    <t xml:space="preserve">Explanation in simple words.</t>
  </si>
  <si>
    <t xml:space="preserve">Grey</t>
  </si>
  <si>
    <t xml:space="preserve">Helper calculation. You can ignore it.</t>
  </si>
  <si>
    <t xml:space="preserve">Map of the file</t>
  </si>
  <si>
    <t xml:space="preserve">1_Inputs</t>
  </si>
  <si>
    <t xml:space="preserve">The ingredients (price, strike, days, volatility, rate) and what the Black-Scholes-Merton model says: price, delta, gamma, theta, vega.</t>
  </si>
  <si>
    <t xml:space="preserve">2_Buy_Put</t>
  </si>
  <si>
    <t xml:space="preserve">Buying a put = buying insurance. Its value curve bends UP (convex): positive gamma. Table + chart.</t>
  </si>
  <si>
    <t xml:space="preserve">3_Sell_Call</t>
  </si>
  <si>
    <t xml:space="preserve">Selling a call = selling insurance. Its value curve bends DOWN (concave): negative gamma. Table + chart.</t>
  </si>
  <si>
    <t xml:space="preserve">4_Smile_vs_Frown</t>
  </si>
  <si>
    <t xml:space="preserve">Both positions on one chart as a function of the index level: the smile (+gamma) and the frown (-gamma).</t>
  </si>
  <si>
    <t xml:space="preserve">5_Gamma_vs_Theta</t>
  </si>
  <si>
    <t xml:space="preserve">The daily fight of an option seller: theta (rent collected every day) against gamma (loss when the market jumps).</t>
  </si>
  <si>
    <t xml:space="preserve">6_Vol_Strategies</t>
  </si>
  <si>
    <t xml:space="preserve">Other ways to bet on volatility: straddle, strangle, iron condor, calendar, gamma scalping... with a payoff chart.</t>
  </si>
  <si>
    <t xml:space="preserve">Glossary</t>
  </si>
  <si>
    <t xml:space="preserve">Every word of the file explained like to a 5-year-old.</t>
  </si>
  <si>
    <t xml:space="preserve">The whole story in 4 sentences</t>
  </si>
  <si>
    <t xml:space="preserve">1) The value of an option changes when the index moves.
2) Delta is the first guess: a straight line ("if the index moves by 1 point, my option moves by delta points").
3) Gamma is the bend of the curve. If you OWN options the curve bends up (a smile): big moves in either direction help you. If you SELL options it bends down (a frown): big moves hurt you.
4) The option seller is paid for this risk every day (theta). He wins if the market moves less than the volatility priced in the options (implied volatility) and loses if it moves more.</t>
  </si>
  <si>
    <t xml:space="preserve">Step 1 - The ingredients and what the model says</t>
  </si>
  <si>
    <t xml:space="preserve">Change the yellow cells. The Black-Scholes-Merton (BSM) model computes the green cells.</t>
  </si>
  <si>
    <t xml:space="preserve">Ingredient</t>
  </si>
  <si>
    <t xml:space="preserve">Value</t>
  </si>
  <si>
    <t xml:space="preserve">Unit</t>
  </si>
  <si>
    <t xml:space="preserve">In simple words</t>
  </si>
  <si>
    <t xml:space="preserve">Index level today (S)</t>
  </si>
  <si>
    <t xml:space="preserve">points</t>
  </si>
  <si>
    <t xml:space="preserve">Price of the Nifty-like index today. Illustrative level.</t>
  </si>
  <si>
    <t xml:space="preserve">Strike of the put (K put)</t>
  </si>
  <si>
    <t xml:space="preserve">Level below which the put pays you. Here = spot (at-the-money).</t>
  </si>
  <si>
    <t xml:space="preserve">Strike of the call (K call)</t>
  </si>
  <si>
    <t xml:space="preserve">Level above which the call pays its owner. Here = spot (at-the-money).</t>
  </si>
  <si>
    <t xml:space="preserve">Days to expiry</t>
  </si>
  <si>
    <t xml:space="preserve">days</t>
  </si>
  <si>
    <t xml:space="preserve">How many calendar days before the options end.</t>
  </si>
  <si>
    <t xml:space="preserve">Implied volatility (sigma)</t>
  </si>
  <si>
    <t xml:space="preserve">per year</t>
  </si>
  <si>
    <t xml:space="preserve">How much the market expects the index to shake. 15% per year is about 0.8% per day.</t>
  </si>
  <si>
    <t xml:space="preserve">Risk-free rate (r)</t>
  </si>
  <si>
    <t xml:space="preserve">Interest rate of a safe deposit (illustrative).</t>
  </si>
  <si>
    <t xml:space="preserve">Time to expiry in years (T)</t>
  </si>
  <si>
    <t xml:space="preserve">years</t>
  </si>
  <si>
    <t xml:space="preserve">Days divided by 365.</t>
  </si>
  <si>
    <t xml:space="preserve">What the model says</t>
  </si>
  <si>
    <t xml:space="preserve">CALL</t>
  </si>
  <si>
    <t xml:space="preserve">PUT</t>
  </si>
  <si>
    <t xml:space="preserve">d1 (helper)</t>
  </si>
  <si>
    <t xml:space="preserve">Helper number used inside the formulas.</t>
  </si>
  <si>
    <t xml:space="preserve">d2 (helper)</t>
  </si>
  <si>
    <t xml:space="preserve">Price (premium)</t>
  </si>
  <si>
    <t xml:space="preserve">What you pay to buy the option (or receive to sell it), in index points.</t>
  </si>
  <si>
    <t xml:space="preserve">Delta</t>
  </si>
  <si>
    <t xml:space="preserve">Speed: if the index goes up by 1 point, the option moves by delta points.</t>
  </si>
  <si>
    <t xml:space="preserve">Gamma</t>
  </si>
  <si>
    <t xml:space="preserve">Bend: how much delta changes when the index moves by 1 point. Same for a call and a put with the same strike.</t>
  </si>
  <si>
    <t xml:space="preserve">Theta (per day)</t>
  </si>
  <si>
    <t xml:space="preserve">Melting ice cube: how much value the option loses in one day if nothing moves.</t>
  </si>
  <si>
    <t xml:space="preserve">Vega (per 1% of vol)</t>
  </si>
  <si>
    <t xml:space="preserve">If implied volatility goes up by 1 point (15% to 16%), the option gains this much.</t>
  </si>
  <si>
    <t xml:space="preserve">Option price calculator: strike</t>
  </si>
  <si>
    <t xml:space="preserve">CALL price</t>
  </si>
  <si>
    <t xml:space="preserve">PUT price</t>
  </si>
  <si>
    <t xml:space="preserve">Prices of calls and puts for other strikes, used to build the strategies of sheet 6.</t>
  </si>
  <si>
    <t xml:space="preserve">Simplifications (so the file stays easy): European options, no dividends, the same volatility for every strike (no volatility smile), and moves of the index that happen instantly. Real NSE option prices also include a volatility skew and transaction costs. Source of the formulas: Black and Scholes (1973), Merton (1973), Hull (2021).</t>
  </si>
  <si>
    <t xml:space="preserve">Buy a put - positive gamma (convex)</t>
  </si>
  <si>
    <t xml:space="preserve">You pay the premium today. You are long gamma and long vega.</t>
  </si>
  <si>
    <t xml:space="preserve">In simple words: buying a put is like buying insurance for your portfolio. If the index falls, the put pays you more and more (its delta becomes more negative as the index falls). Its value curve bends UP like a smile, which is positive gamma. This is the logic of my long-dated index put used as a tail-risk hedge.</t>
  </si>
  <si>
    <t xml:space="preserve">The equation:  change in value  =  Delta x (move)  +  1/2 x Gamma x (move)^2   (+ theta and vega, ignored here)</t>
  </si>
  <si>
    <t xml:space="preserve">Position</t>
  </si>
  <si>
    <t xml:space="preserve">+1 bought, -1 sold</t>
  </si>
  <si>
    <t xml:space="preserve">Delta of position</t>
  </si>
  <si>
    <t xml:space="preserve">Premium today</t>
  </si>
  <si>
    <t xml:space="preserve">index points</t>
  </si>
  <si>
    <t xml:space="preserve">Gamma of position</t>
  </si>
  <si>
    <t xml:space="preserve">Index level (S)</t>
  </si>
  <si>
    <t xml:space="preserve">Move (dS)</t>
  </si>
  <si>
    <t xml:space="preserve">Real change in value (BSM)</t>
  </si>
  <si>
    <t xml:space="preserve">Guess 1: delta only</t>
  </si>
  <si>
    <t xml:space="preserve">Guess 2: delta + gamma</t>
  </si>
  <si>
    <t xml:space="preserve">Gamma part 1/2 x G x dS^2</t>
  </si>
  <si>
    <t xml:space="preserve">New option price (helper)</t>
  </si>
  <si>
    <t xml:space="preserve">How to read the chart: the blue curve is the truth. The red dashed straight line (delta only) is wrong when the move is big. The green dotted curve (delta + gamma) sticks to the blue curve much longer: the second-order term 1/2 x Gamma x dS^2 is the convexity. For the BOUGHT put the gap is always ABOVE the straight line: big moves help you (positive gamma).</t>
  </si>
  <si>
    <t xml:space="preserve">Sell a call - negative gamma (concave)</t>
  </si>
  <si>
    <t xml:space="preserve">You receive the premium today. You are short gamma and short vega.</t>
  </si>
  <si>
    <t xml:space="preserve">In simple words: selling a call is like selling insurance against a rally. You keep the premium if the index stays calm, but if it shoots up you lose more and more. The value curve bends DOWN like a frown, which is negative gamma. Short straddles and strangles (selling options) have this shape.</t>
  </si>
  <si>
    <t xml:space="preserve">How to read the chart: the blue curve is the truth. The red dashed straight line (delta only) is wrong when the move is big. The green dotted curve (delta + gamma) sticks to the blue curve much longer: the second-order term 1/2 x Gamma x dS^2 is the convexity. For the SOLD call the gap is always BELOW the straight line: big moves hurt you (negative gamma).</t>
  </si>
  <si>
    <t xml:space="preserve">Smile vs frown: the position as a function of the index level</t>
  </si>
  <si>
    <t xml:space="preserve">Both positions on one chart, using the numbers of sheets 2 and 3.</t>
  </si>
  <si>
    <t xml:space="preserve">Left chart: the real change in value of each position. Right chart: only the gamma part 1/2 x Gamma x dS^2. The bought put draws a smile (it gains on big moves on BOTH sides, relative to its delta line). The sold call draws a frown (it loses on big moves on both sides). This is why a portfolio that sells options needs a hedge with positive gamma, such as a long put.</t>
  </si>
  <si>
    <t xml:space="preserve">Bought put: real change</t>
  </si>
  <si>
    <t xml:space="preserve">Sold call: real change</t>
  </si>
  <si>
    <t xml:space="preserve">Bought put: gamma part</t>
  </si>
  <si>
    <t xml:space="preserve">Sold call: gamma part</t>
  </si>
  <si>
    <t xml:space="preserve">The daily fight of an option seller: theta against gamma</t>
  </si>
  <si>
    <t xml:space="preserve">Short at-the-money straddle (sell 1 call + sell 1 put), delta-hedged with futures every day. One day, one move.</t>
  </si>
  <si>
    <t xml:space="preserve">In simple words: the seller is like a landlord. Every day he collects rent (theta). But if the market jumps, he pays for the damage (gamma). The damage grows with the SQUARE of the move: a move twice as big costs four times more. The break-even move is the size of daily move where rent = damage. Magic fact: this break-even move is almost exactly the daily move implied by the option price (implied volatility / square root of 365). So the seller wins if the market really moves LESS than implied volatility says (realized vol &lt; implied vol), and loses if it moves MORE.</t>
  </si>
  <si>
    <t xml:space="preserve">Equation for one day:  P&amp;L  =  - 1/2 x Gamma x dS^2  +  Theta   ~   1/2 x Gamma x S^2 x (implied var - realized var) x dt</t>
  </si>
  <si>
    <t xml:space="preserve">Gamma of the short straddle</t>
  </si>
  <si>
    <t xml:space="preserve">Negative: we SOLD two options.</t>
  </si>
  <si>
    <t xml:space="preserve">Theta collected per day</t>
  </si>
  <si>
    <t xml:space="preserve">Positive: time is on the seller's side.</t>
  </si>
  <si>
    <t xml:space="preserve">Break-even daily move (points)</t>
  </si>
  <si>
    <t xml:space="preserve">Move where rent = damage.</t>
  </si>
  <si>
    <t xml:space="preserve">Break-even daily move (%)</t>
  </si>
  <si>
    <t xml:space="preserve">Same thing in percent of the index.</t>
  </si>
  <si>
    <t xml:space="preserve">Daily move implied by volatility (%)</t>
  </si>
  <si>
    <t xml:space="preserve">Implied volatility turned into a daily move. Almost equal to the line above!</t>
  </si>
  <si>
    <t xml:space="preserve">Daily move of the index (%)</t>
  </si>
  <si>
    <t xml:space="preserve">Move (points)</t>
  </si>
  <si>
    <t xml:space="preserve">Gamma damage</t>
  </si>
  <si>
    <t xml:space="preserve">Theta rent</t>
  </si>
  <si>
    <t xml:space="preserve">Net P&amp;L of the day</t>
  </si>
  <si>
    <t xml:space="preserve">Other ways to bet on volatility</t>
  </si>
  <si>
    <t xml:space="preserve">Long volatility = you win if the market moves a lot. Short volatility = you win if it stays calm.</t>
  </si>
  <si>
    <t xml:space="preserve">Strategy</t>
  </si>
  <si>
    <t xml:space="preserve">How to build it</t>
  </si>
  <si>
    <t xml:space="preserve">You win if...</t>
  </si>
  <si>
    <t xml:space="preserve">You lose if...</t>
  </si>
  <si>
    <t xml:space="preserve">Vega</t>
  </si>
  <si>
    <t xml:space="preserve">Worst case</t>
  </si>
  <si>
    <t xml:space="preserve">Long straddle</t>
  </si>
  <si>
    <t xml:space="preserve">Buy 1 call + buy 1 put, same strike (at the money).</t>
  </si>
  <si>
    <t xml:space="preserve">The index moves a lot, up or down.</t>
  </si>
  <si>
    <t xml:space="preserve">The index stays calm; time decay eats the premium.</t>
  </si>
  <si>
    <t xml:space="preserve">+</t>
  </si>
  <si>
    <t xml:space="preserve">Limited to the premiums paid.</t>
  </si>
  <si>
    <t xml:space="preserve">Long strangle</t>
  </si>
  <si>
    <t xml:space="preserve">Buy 1 out-of-the-money call + 1 out-of-the-money put.</t>
  </si>
  <si>
    <t xml:space="preserve">Very big move in either direction.</t>
  </si>
  <si>
    <t xml:space="preserve">Calm market (cheaper than a straddle but needs a bigger move).</t>
  </si>
  <si>
    <t xml:space="preserve">Delta-hedged long option (gamma scalping)</t>
  </si>
  <si>
    <t xml:space="preserve">Buy options, then buy/sell futures every day to keep delta near 0.</t>
  </si>
  <si>
    <t xml:space="preserve">Realized volatility ends up ABOVE the implied volatility paid.</t>
  </si>
  <si>
    <t xml:space="preserve">Realized volatility ends up below implied; theta every day.</t>
  </si>
  <si>
    <t xml:space="preserve">Premium paid plus hedging costs.</t>
  </si>
  <si>
    <t xml:space="preserve">Long put (tail hedge)</t>
  </si>
  <si>
    <t xml:space="preserve">Buy an out-of-the-money index put with a long maturity.</t>
  </si>
  <si>
    <t xml:space="preserve">A crash: the put gains fast (convexity).</t>
  </si>
  <si>
    <t xml:space="preserve">Normal times: small cost every month.</t>
  </si>
  <si>
    <t xml:space="preserve">Limited to the premium paid.</t>
  </si>
  <si>
    <t xml:space="preserve">Short straddle</t>
  </si>
  <si>
    <t xml:space="preserve">Sell 1 call + sell 1 put, same strike.</t>
  </si>
  <si>
    <t xml:space="preserve">The index stays near the strike.</t>
  </si>
  <si>
    <t xml:space="preserve">A big move in either direction.</t>
  </si>
  <si>
    <t xml:space="preserve">-</t>
  </si>
  <si>
    <t xml:space="preserve">Unlimited (must be hedged or capped).</t>
  </si>
  <si>
    <t xml:space="preserve">Short strangle</t>
  </si>
  <si>
    <t xml:space="preserve">Sell 1 out-of-the-money call + 1 out-of-the-money put.</t>
  </si>
  <si>
    <t xml:space="preserve">The index stays between the two strikes.</t>
  </si>
  <si>
    <t xml:space="preserve">The index breaks out of the range.</t>
  </si>
  <si>
    <t xml:space="preserve">Iron condor (defined-risk short vol)</t>
  </si>
  <si>
    <t xml:space="preserve">Short strangle + buy a further put and a further call as wings.</t>
  </si>
  <si>
    <t xml:space="preserve">The index stays between the short strikes.</t>
  </si>
  <si>
    <t xml:space="preserve">Limited: width of a wing minus premium.</t>
  </si>
  <si>
    <t xml:space="preserve">Calendar spread</t>
  </si>
  <si>
    <t xml:space="preserve">Sell a short-dated option, buy a longer-dated one, same strike.</t>
  </si>
  <si>
    <t xml:space="preserve">Short-term volatility stays low while longer-term implied volatility holds or rises.</t>
  </si>
  <si>
    <t xml:space="preserve">A big move now, or a fall of long-dated implied volatility.</t>
  </si>
  <si>
    <t xml:space="preserve">Limited to the net premium paid.</t>
  </si>
  <si>
    <t xml:space="preserve">Volatility index or variance products</t>
  </si>
  <si>
    <t xml:space="preserve">Trade a volatility index (India VIX for NSE) or variance swaps.</t>
  </si>
  <si>
    <t xml:space="preserve">Volatility rises (long) or falls (short).</t>
  </si>
  <si>
    <t xml:space="preserve">The opposite.</t>
  </si>
  <si>
    <t xml:space="preserve">n/a</t>
  </si>
  <si>
    <t xml:space="preserve">+/-</t>
  </si>
  <si>
    <t xml:space="preserve">Depends on the product; variance swaps are mainly for institutions.</t>
  </si>
  <si>
    <t xml:space="preserve">Below: payoff AT EXPIRY of three strategies, with premiums from the price calculator of sheet 1 (strikes 24,000 / 24,500 / 25,000 / 25,500 / 26,000). Change the strikes or the volatility in sheet 1 and the chart updates.</t>
  </si>
  <si>
    <t xml:space="preserve">Premium of long straddle (paid)</t>
  </si>
  <si>
    <t xml:space="preserve">Premium of short strangle (received)</t>
  </si>
  <si>
    <t xml:space="preserve">Net premium of iron condor (received)</t>
  </si>
  <si>
    <t xml:space="preserve">Index at expiry</t>
  </si>
  <si>
    <t xml:space="preserve">Iron condor</t>
  </si>
  <si>
    <t xml:space="preserve">Glossary - every word explained simply</t>
  </si>
  <si>
    <t xml:space="preserve">Word</t>
  </si>
  <si>
    <t xml:space="preserve">Simple explanation</t>
  </si>
  <si>
    <t xml:space="preserve">Option</t>
  </si>
  <si>
    <t xml:space="preserve">A ticket that gives you the RIGHT (not the obligation) to buy (call) or sell (put) the index at a fixed level (the strike) at a fixed date.</t>
  </si>
  <si>
    <t xml:space="preserve">Call</t>
  </si>
  <si>
    <t xml:space="preserve">Ticket to buy at the strike. It is worth more when the index goes UP.</t>
  </si>
  <si>
    <t xml:space="preserve">Put</t>
  </si>
  <si>
    <t xml:space="preserve">Ticket to sell at the strike. It is worth more when the index goes DOWN. Works like insurance.</t>
  </si>
  <si>
    <t xml:space="preserve">Premium</t>
  </si>
  <si>
    <t xml:space="preserve">The price of the ticket. The buyer pays it, the seller receives it.</t>
  </si>
  <si>
    <t xml:space="preserve">Strike (K)</t>
  </si>
  <si>
    <t xml:space="preserve">The fixed level written on the ticket.</t>
  </si>
  <si>
    <t xml:space="preserve">Implied volatility</t>
  </si>
  <si>
    <t xml:space="preserve">How much the market THINKS the index will shake, read from option prices. High implied volatility = expensive options.</t>
  </si>
  <si>
    <t xml:space="preserve">Realized volatility</t>
  </si>
  <si>
    <t xml:space="preserve">How much the index REALLY shook afterwards.</t>
  </si>
  <si>
    <t xml:space="preserve">Speed: change of the option value for a 1-point move of the index. Delta-neutral = total delta of all my positions close to 0.</t>
  </si>
  <si>
    <t xml:space="preserve">Bend: change of delta for a 1-point move. Positive gamma (bought options) = the curve smiles. Negative gamma (sold options) = the curve frowns.</t>
  </si>
  <si>
    <t xml:space="preserve">Convexity</t>
  </si>
  <si>
    <t xml:space="preserve">Another name for the bend of the curve. The second-order term 1/2 x Gamma x (move)^2 measures it.</t>
  </si>
  <si>
    <t xml:space="preserve">Theta</t>
  </si>
  <si>
    <t xml:space="preserve">The melting ice cube: value lost by an option every day if nothing happens. The seller earns it, the buyer pays it.</t>
  </si>
  <si>
    <t xml:space="preserve">Change of the option value when implied volatility moves by 1 point.</t>
  </si>
  <si>
    <t xml:space="preserve">Straddle / strangle</t>
  </si>
  <si>
    <t xml:space="preserve">Buying (or selling) a call and a put together: a bet on the SIZE of the move, not its direction.</t>
  </si>
  <si>
    <t xml:space="preserve">Drawdown</t>
  </si>
  <si>
    <t xml:space="preserve">How far the portfolio has fallen from its highest point so far.</t>
  </si>
  <si>
    <t xml:space="preserve">Lakh / crore</t>
  </si>
  <si>
    <t xml:space="preserve">Indian numbers: 1 lakh = 100,000 and 1 crore = 10,000,000. So 1 lakh crore = 1 trillion (10^12).</t>
  </si>
  <si>
    <t xml:space="preserve">FY (fiscal year)</t>
  </si>
  <si>
    <t xml:space="preserve">In India the fiscal year runs from 1 April to 31 March. FY24 = April 2023 to March 2024.</t>
  </si>
</sst>
</file>

<file path=xl/styles.xml><?xml version="1.0" encoding="utf-8"?>
<styleSheet xmlns="http://schemas.openxmlformats.org/spreadsheetml/2006/main">
  <numFmts count="13">
    <numFmt numFmtId="164" formatCode="General"/>
    <numFmt numFmtId="165" formatCode="#,##0"/>
    <numFmt numFmtId="166" formatCode="0"/>
    <numFmt numFmtId="167" formatCode="0.0%"/>
    <numFmt numFmtId="168" formatCode="0.0000"/>
    <numFmt numFmtId="169" formatCode="0.000000"/>
    <numFmt numFmtId="170" formatCode="#,##0.00"/>
    <numFmt numFmtId="171" formatCode="0.000"/>
    <numFmt numFmtId="172" formatCode="\+0;\-0"/>
    <numFmt numFmtId="173" formatCode="#,##0.0"/>
    <numFmt numFmtId="174" formatCode="\+#,##0;\-#,##0;0"/>
    <numFmt numFmtId="175" formatCode="#,##0.0;[RED]\-#,##0.0"/>
    <numFmt numFmtId="176" formatCode="0.00%"/>
  </numFmts>
  <fonts count="18">
    <font>
      <sz val="11"/>
      <color theme="1"/>
      <name val="Calibri"/>
      <family val="2"/>
      <charset val="1"/>
    </font>
    <font>
      <sz val="10"/>
      <name val="Arial"/>
      <family val="0"/>
    </font>
    <font>
      <sz val="10"/>
      <name val="Arial"/>
      <family val="0"/>
    </font>
    <font>
      <sz val="10"/>
      <name val="Arial"/>
      <family val="0"/>
    </font>
    <font>
      <b val="true"/>
      <sz val="18"/>
      <color rgb="FF1F4E79"/>
      <name val="Arial"/>
      <family val="0"/>
      <charset val="1"/>
    </font>
    <font>
      <i val="true"/>
      <sz val="11"/>
      <color rgb="FF595959"/>
      <name val="Arial"/>
      <family val="0"/>
      <charset val="1"/>
    </font>
    <font>
      <b val="true"/>
      <sz val="14"/>
      <name val="Arial"/>
      <family val="0"/>
      <charset val="1"/>
    </font>
    <font>
      <b val="true"/>
      <sz val="11"/>
      <color rgb="FF000000"/>
      <name val="Arial"/>
      <family val="0"/>
      <charset val="1"/>
    </font>
    <font>
      <sz val="11"/>
      <color rgb="FF000000"/>
      <name val="Arial"/>
      <family val="0"/>
      <charset val="1"/>
    </font>
    <font>
      <sz val="11"/>
      <name val="Arial"/>
      <family val="0"/>
      <charset val="1"/>
    </font>
    <font>
      <b val="true"/>
      <sz val="11"/>
      <color rgb="FFFFFFFF"/>
      <name val="Arial"/>
      <family val="0"/>
      <charset val="1"/>
    </font>
    <font>
      <b val="true"/>
      <sz val="11"/>
      <color rgb="FF0000FF"/>
      <name val="Arial"/>
      <family val="0"/>
      <charset val="1"/>
    </font>
    <font>
      <b val="true"/>
      <sz val="11"/>
      <name val="Arial"/>
      <family val="0"/>
      <charset val="1"/>
    </font>
    <font>
      <sz val="11"/>
      <color rgb="FF0000FF"/>
      <name val="Arial"/>
      <family val="0"/>
      <charset val="1"/>
    </font>
    <font>
      <b val="true"/>
      <sz val="18"/>
      <color rgb="FF000000"/>
      <name val="Calibri"/>
      <family val="2"/>
    </font>
    <font>
      <sz val="10"/>
      <color rgb="FF000000"/>
      <name val="Calibri"/>
      <family val="2"/>
    </font>
    <font>
      <b val="true"/>
      <sz val="10"/>
      <color rgb="FF000000"/>
      <name val="Calibri"/>
      <family val="2"/>
    </font>
    <font>
      <sz val="11"/>
      <color rgb="FF008000"/>
      <name val="Arial"/>
      <family val="0"/>
      <charset val="1"/>
    </font>
  </fonts>
  <fills count="7">
    <fill>
      <patternFill patternType="none"/>
    </fill>
    <fill>
      <patternFill patternType="gray125"/>
    </fill>
    <fill>
      <patternFill patternType="solid">
        <fgColor rgb="FFFFF2A8"/>
        <bgColor rgb="FFD9F2D0"/>
      </patternFill>
    </fill>
    <fill>
      <patternFill patternType="solid">
        <fgColor rgb="FFD9F2D0"/>
        <bgColor rgb="FFDDEBF7"/>
      </patternFill>
    </fill>
    <fill>
      <patternFill patternType="solid">
        <fgColor rgb="FFDDEBF7"/>
        <bgColor rgb="FFF2F2F2"/>
      </patternFill>
    </fill>
    <fill>
      <patternFill patternType="solid">
        <fgColor rgb="FFF2F2F2"/>
        <bgColor rgb="FFDDEBF7"/>
      </patternFill>
    </fill>
    <fill>
      <patternFill patternType="solid">
        <fgColor rgb="FF1F4E79"/>
        <bgColor rgb="FF003366"/>
      </patternFill>
    </fill>
  </fills>
  <borders count="3">
    <border diagonalUp="false" diagonalDown="false">
      <left/>
      <right/>
      <top/>
      <bottom/>
      <diagonal/>
    </border>
    <border diagonalUp="false" diagonalDown="false">
      <left style="thin">
        <color rgb="FFBFBFBF"/>
      </left>
      <right style="thin">
        <color rgb="FFBFBFBF"/>
      </right>
      <top style="thin">
        <color rgb="FFBFBFBF"/>
      </top>
      <bottom style="thin">
        <color rgb="FFBFBFBF"/>
      </bottom>
      <diagonal/>
    </border>
    <border diagonalUp="false" diagonalDown="false">
      <left style="thin">
        <color rgb="FFBFBFBF"/>
      </left>
      <right/>
      <top style="thin">
        <color rgb="FFBFBFBF"/>
      </top>
      <bottom style="thin">
        <color rgb="FFBFBFBF"/>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42">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7" fillId="0" borderId="1" xfId="0" applyFont="true" applyBorder="true" applyAlignment="false" applyProtection="false">
      <alignment horizontal="general" vertical="bottom" textRotation="0" wrapText="false" indent="0" shrinkToFit="false"/>
      <protection locked="true" hidden="false"/>
    </xf>
    <xf numFmtId="164" fontId="8" fillId="0" borderId="1" xfId="0" applyFont="true" applyBorder="true" applyAlignment="false" applyProtection="false">
      <alignment horizontal="general" vertical="bottom" textRotation="0" wrapText="false" indent="0" shrinkToFit="false"/>
      <protection locked="true" hidden="false"/>
    </xf>
    <xf numFmtId="164" fontId="7" fillId="2" borderId="1" xfId="0" applyFont="true" applyBorder="true" applyAlignment="false" applyProtection="false">
      <alignment horizontal="general" vertical="bottom" textRotation="0" wrapText="false" indent="0" shrinkToFit="false"/>
      <protection locked="true" hidden="false"/>
    </xf>
    <xf numFmtId="164" fontId="7" fillId="3" borderId="1" xfId="0" applyFont="true" applyBorder="true" applyAlignment="false" applyProtection="false">
      <alignment horizontal="general" vertical="bottom" textRotation="0" wrapText="false" indent="0" shrinkToFit="false"/>
      <protection locked="true" hidden="false"/>
    </xf>
    <xf numFmtId="164" fontId="7" fillId="4" borderId="1" xfId="0" applyFont="true" applyBorder="true" applyAlignment="false" applyProtection="false">
      <alignment horizontal="general" vertical="bottom" textRotation="0" wrapText="false" indent="0" shrinkToFit="false"/>
      <protection locked="true" hidden="false"/>
    </xf>
    <xf numFmtId="164" fontId="7" fillId="5" borderId="1" xfId="0" applyFont="true" applyBorder="true" applyAlignment="false" applyProtection="false">
      <alignment horizontal="general" vertical="bottom" textRotation="0" wrapText="false" indent="0" shrinkToFit="false"/>
      <protection locked="true" hidden="false"/>
    </xf>
    <xf numFmtId="164" fontId="8" fillId="0" borderId="1" xfId="0" applyFont="true" applyBorder="true" applyAlignment="true" applyProtection="false">
      <alignment horizontal="general" vertical="bottom" textRotation="0" wrapText="true" indent="0" shrinkToFit="false"/>
      <protection locked="true" hidden="false"/>
    </xf>
    <xf numFmtId="164" fontId="9" fillId="4" borderId="0" xfId="0" applyFont="true" applyBorder="true" applyAlignment="true" applyProtection="false">
      <alignment horizontal="general" vertical="top" textRotation="0" wrapText="true" indent="0" shrinkToFit="false"/>
      <protection locked="true" hidden="false"/>
    </xf>
    <xf numFmtId="164" fontId="10" fillId="6" borderId="1" xfId="0" applyFont="true" applyBorder="true" applyAlignment="true" applyProtection="false">
      <alignment horizontal="center" vertical="center" textRotation="0" wrapText="true" indent="0" shrinkToFit="false"/>
      <protection locked="true" hidden="false"/>
    </xf>
    <xf numFmtId="165" fontId="11" fillId="2" borderId="1" xfId="0" applyFont="true" applyBorder="true" applyAlignment="false" applyProtection="false">
      <alignment horizontal="general" vertical="bottom" textRotation="0" wrapText="false" indent="0" shrinkToFit="false"/>
      <protection locked="true" hidden="false"/>
    </xf>
    <xf numFmtId="166" fontId="11" fillId="2" borderId="1" xfId="0" applyFont="true" applyBorder="true" applyAlignment="false" applyProtection="false">
      <alignment horizontal="general" vertical="bottom" textRotation="0" wrapText="false" indent="0" shrinkToFit="false"/>
      <protection locked="true" hidden="false"/>
    </xf>
    <xf numFmtId="167" fontId="11" fillId="2" borderId="1" xfId="0" applyFont="true" applyBorder="true" applyAlignment="false" applyProtection="false">
      <alignment horizontal="general" vertical="bottom" textRotation="0" wrapText="false" indent="0" shrinkToFit="false"/>
      <protection locked="true" hidden="false"/>
    </xf>
    <xf numFmtId="168" fontId="8" fillId="3" borderId="1" xfId="0" applyFont="true" applyBorder="true" applyAlignment="false" applyProtection="false">
      <alignment horizontal="general" vertical="bottom" textRotation="0" wrapText="false" indent="0" shrinkToFit="false"/>
      <protection locked="true" hidden="false"/>
    </xf>
    <xf numFmtId="169" fontId="8" fillId="5" borderId="1" xfId="0" applyFont="true" applyBorder="true" applyAlignment="false" applyProtection="false">
      <alignment horizontal="general" vertical="bottom" textRotation="0" wrapText="false" indent="0" shrinkToFit="false"/>
      <protection locked="true" hidden="false"/>
    </xf>
    <xf numFmtId="170" fontId="8" fillId="3" borderId="1" xfId="0" applyFont="true" applyBorder="true" applyAlignment="false" applyProtection="false">
      <alignment horizontal="general" vertical="bottom" textRotation="0" wrapText="false" indent="0" shrinkToFit="false"/>
      <protection locked="true" hidden="false"/>
    </xf>
    <xf numFmtId="171" fontId="8" fillId="3" borderId="1" xfId="0" applyFont="true" applyBorder="true" applyAlignment="false" applyProtection="false">
      <alignment horizontal="general" vertical="bottom" textRotation="0" wrapText="false" indent="0" shrinkToFit="false"/>
      <protection locked="true" hidden="false"/>
    </xf>
    <xf numFmtId="169" fontId="8" fillId="3" borderId="1" xfId="0" applyFont="true" applyBorder="true" applyAlignment="false" applyProtection="false">
      <alignment horizontal="general" vertical="bottom" textRotation="0" wrapText="false" indent="0" shrinkToFit="false"/>
      <protection locked="true" hidden="false"/>
    </xf>
    <xf numFmtId="164" fontId="12" fillId="3" borderId="0" xfId="0" applyFont="true" applyBorder="true" applyAlignment="true" applyProtection="false">
      <alignment horizontal="general" vertical="top" textRotation="0" wrapText="true" indent="0" shrinkToFit="false"/>
      <protection locked="true" hidden="false"/>
    </xf>
    <xf numFmtId="172" fontId="8" fillId="3" borderId="1" xfId="0" applyFont="true" applyBorder="true" applyAlignment="false" applyProtection="false">
      <alignment horizontal="general" vertical="bottom" textRotation="0" wrapText="false" indent="0" shrinkToFit="false"/>
      <protection locked="true" hidden="false"/>
    </xf>
    <xf numFmtId="173" fontId="8" fillId="3" borderId="1" xfId="0" applyFont="true" applyBorder="true" applyAlignment="false" applyProtection="false">
      <alignment horizontal="general" vertical="bottom" textRotation="0" wrapText="false" indent="0" shrinkToFit="false"/>
      <protection locked="true" hidden="false"/>
    </xf>
    <xf numFmtId="165" fontId="13" fillId="2" borderId="1" xfId="0" applyFont="true" applyBorder="true" applyAlignment="false" applyProtection="false">
      <alignment horizontal="general" vertical="bottom" textRotation="0" wrapText="false" indent="0" shrinkToFit="false"/>
      <protection locked="true" hidden="false"/>
    </xf>
    <xf numFmtId="174" fontId="8" fillId="0" borderId="1" xfId="0" applyFont="true" applyBorder="true" applyAlignment="false" applyProtection="false">
      <alignment horizontal="general" vertical="bottom" textRotation="0" wrapText="false" indent="0" shrinkToFit="false"/>
      <protection locked="true" hidden="false"/>
    </xf>
    <xf numFmtId="175" fontId="7" fillId="3" borderId="1" xfId="0" applyFont="true" applyBorder="true" applyAlignment="false" applyProtection="false">
      <alignment horizontal="general" vertical="bottom" textRotation="0" wrapText="false" indent="0" shrinkToFit="false"/>
      <protection locked="true" hidden="false"/>
    </xf>
    <xf numFmtId="175" fontId="8" fillId="3" borderId="1" xfId="0" applyFont="true" applyBorder="true" applyAlignment="false" applyProtection="false">
      <alignment horizontal="general" vertical="bottom" textRotation="0" wrapText="false" indent="0" shrinkToFit="false"/>
      <protection locked="true" hidden="false"/>
    </xf>
    <xf numFmtId="173" fontId="8" fillId="5" borderId="1" xfId="0" applyFont="true" applyBorder="true" applyAlignment="false" applyProtection="false">
      <alignment horizontal="general" vertical="bottom" textRotation="0" wrapText="false" indent="0" shrinkToFit="false"/>
      <protection locked="true" hidden="false"/>
    </xf>
    <xf numFmtId="165" fontId="17" fillId="0" borderId="1" xfId="0" applyFont="true" applyBorder="true" applyAlignment="false" applyProtection="false">
      <alignment horizontal="general" vertical="bottom" textRotation="0" wrapText="false" indent="0" shrinkToFit="false"/>
      <protection locked="true" hidden="false"/>
    </xf>
    <xf numFmtId="175" fontId="17" fillId="3" borderId="1" xfId="0" applyFont="true" applyBorder="true" applyAlignment="false" applyProtection="false">
      <alignment horizontal="general" vertical="bottom" textRotation="0" wrapText="false" indent="0" shrinkToFit="false"/>
      <protection locked="true" hidden="false"/>
    </xf>
    <xf numFmtId="169" fontId="7" fillId="3" borderId="1" xfId="0" applyFont="true" applyBorder="true" applyAlignment="false" applyProtection="false">
      <alignment horizontal="general" vertical="bottom" textRotation="0" wrapText="false" indent="0" shrinkToFit="false"/>
      <protection locked="true" hidden="false"/>
    </xf>
    <xf numFmtId="164" fontId="8" fillId="0" borderId="2" xfId="0" applyFont="true" applyBorder="true" applyAlignment="false" applyProtection="false">
      <alignment horizontal="general" vertical="bottom" textRotation="0" wrapText="false" indent="0" shrinkToFit="false"/>
      <protection locked="true" hidden="false"/>
    </xf>
    <xf numFmtId="170" fontId="7" fillId="3" borderId="1" xfId="0" applyFont="true" applyBorder="true" applyAlignment="false" applyProtection="false">
      <alignment horizontal="general" vertical="bottom" textRotation="0" wrapText="false" indent="0" shrinkToFit="false"/>
      <protection locked="true" hidden="false"/>
    </xf>
    <xf numFmtId="173" fontId="7" fillId="3" borderId="1" xfId="0" applyFont="true" applyBorder="true" applyAlignment="false" applyProtection="false">
      <alignment horizontal="general" vertical="bottom" textRotation="0" wrapText="false" indent="0" shrinkToFit="false"/>
      <protection locked="true" hidden="false"/>
    </xf>
    <xf numFmtId="176" fontId="7" fillId="3" borderId="1" xfId="0" applyFont="true" applyBorder="true" applyAlignment="false" applyProtection="false">
      <alignment horizontal="general" vertical="bottom" textRotation="0" wrapText="false" indent="0" shrinkToFit="false"/>
      <protection locked="true" hidden="false"/>
    </xf>
    <xf numFmtId="176" fontId="13" fillId="2" borderId="1" xfId="0" applyFont="true" applyBorder="true" applyAlignment="false" applyProtection="false">
      <alignment horizontal="general" vertical="bottom" textRotation="0" wrapText="false" indent="0" shrinkToFit="false"/>
      <protection locked="true" hidden="false"/>
    </xf>
    <xf numFmtId="165" fontId="8" fillId="0" borderId="1" xfId="0" applyFont="true" applyBorder="true" applyAlignment="false" applyProtection="false">
      <alignment horizontal="general" vertical="bottom" textRotation="0" wrapText="false" indent="0" shrinkToFit="false"/>
      <protection locked="true" hidden="false"/>
    </xf>
    <xf numFmtId="164" fontId="7" fillId="0" borderId="1" xfId="0" applyFont="true" applyBorder="true" applyAlignment="true" applyProtection="false">
      <alignment horizontal="left" vertical="top" textRotation="0" wrapText="true" indent="0" shrinkToFit="false"/>
      <protection locked="true" hidden="false"/>
    </xf>
    <xf numFmtId="164" fontId="8" fillId="0" borderId="1" xfId="0" applyFont="true" applyBorder="true" applyAlignment="true" applyProtection="false">
      <alignment horizontal="left" vertical="top" textRotation="0" wrapText="true" indent="0" shrinkToFit="false"/>
      <protection locked="true" hidden="false"/>
    </xf>
    <xf numFmtId="164" fontId="8" fillId="3" borderId="1" xfId="0" applyFont="true" applyBorder="true" applyAlignment="true" applyProtection="false">
      <alignment horizontal="center" vertical="top" textRotation="0" wrapText="true" indent="0" shrinkToFit="false"/>
      <protection locked="true" hidden="false"/>
    </xf>
    <xf numFmtId="164" fontId="8" fillId="0" borderId="1" xfId="0" applyFont="true" applyBorder="true" applyAlignment="true" applyProtection="false">
      <alignment horizontal="general" vertical="top"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C00000"/>
      <rgbColor rgb="FF00FF00"/>
      <rgbColor rgb="FF0000FF"/>
      <rgbColor rgb="FFFFFF00"/>
      <rgbColor rgb="FFFF00FF"/>
      <rgbColor rgb="FF00FFFF"/>
      <rgbColor rgb="FF800000"/>
      <rgbColor rgb="FF008000"/>
      <rgbColor rgb="FF000080"/>
      <rgbColor rgb="FF808000"/>
      <rgbColor rgb="FF800080"/>
      <rgbColor rgb="FF008080"/>
      <rgbColor rgb="FFBFBFBF"/>
      <rgbColor rgb="FF7F7F7F"/>
      <rgbColor rgb="FF9999FF"/>
      <rgbColor rgb="FF993366"/>
      <rgbColor rgb="FFF2F2F2"/>
      <rgbColor rgb="FFDDEBF7"/>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D9F2D0"/>
      <rgbColor rgb="FFFFF2A8"/>
      <rgbColor rgb="FF99CCFF"/>
      <rgbColor rgb="FFFF99CC"/>
      <rgbColor rgb="FFCC99FF"/>
      <rgbColor rgb="FFFFCC99"/>
      <rgbColor rgb="FF3366FF"/>
      <rgbColor rgb="FF33CCCC"/>
      <rgbColor rgb="FF99CC00"/>
      <rgbColor rgb="FFFFCC00"/>
      <rgbColor rgb="FFFF9900"/>
      <rgbColor rgb="FFFF6600"/>
      <rgbColor rgb="FF595959"/>
      <rgbColor rgb="FF878787"/>
      <rgbColor rgb="FF003366"/>
      <rgbColor rgb="FF70AD47"/>
      <rgbColor rgb="FF003300"/>
      <rgbColor rgb="FF333300"/>
      <rgbColor rgb="FF993300"/>
      <rgbColor rgb="FF993366"/>
      <rgbColor rgb="FF1F4E7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worksheet" Target="worksheets/sheet7.xml"/><Relationship Id="rId10" Type="http://schemas.openxmlformats.org/officeDocument/2006/relationships/worksheet" Target="worksheets/sheet8.xml"/><Relationship Id="rId11" Type="http://schemas.openxmlformats.org/officeDocument/2006/relationships/sharedStrings" Target="sharedStrings.xml"/>
</Relationships>
</file>

<file path=xl/charts/chart1.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1" sz="1800" spc="-1" strike="noStrike">
                <a:solidFill>
                  <a:srgbClr val="000000"/>
                </a:solidFill>
                <a:latin typeface="Calibri"/>
              </a:defRPr>
            </a:pPr>
            <a:r>
              <a:rPr b="1" sz="1800" spc="-1" strike="noStrike">
                <a:solidFill>
                  <a:srgbClr val="000000"/>
                </a:solidFill>
                <a:latin typeface="Calibri"/>
              </a:rPr>
              <a:t>Buy a put: value change vs index level</a:t>
            </a:r>
          </a:p>
        </c:rich>
      </c:tx>
      <c:overlay val="0"/>
      <c:spPr>
        <a:noFill/>
        <a:ln w="0">
          <a:noFill/>
        </a:ln>
      </c:spPr>
    </c:title>
    <c:autoTitleDeleted val="0"/>
    <c:plotArea>
      <c:scatterChart>
        <c:scatterStyle val="line"/>
        <c:varyColors val="0"/>
        <c:ser>
          <c:idx val="0"/>
          <c:order val="0"/>
          <c:tx>
            <c:strRef>
              <c:f>2_Buy_Put!C13</c:f>
              <c:strCache>
                <c:ptCount val="1"/>
                <c:pt idx="0">
                  <c:v>Real change in value (BSM)</c:v>
                </c:pt>
              </c:strCache>
            </c:strRef>
          </c:tx>
          <c:spPr>
            <a:solidFill>
              <a:srgbClr val="1f4e79"/>
            </a:solidFill>
            <a:ln w="28080">
              <a:solidFill>
                <a:srgbClr val="1f4e79"/>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xVal>
            <c:numRef>
              <c:f>2_Buy_Put!$A$14:$A$30</c:f>
              <c:numCache>
                <c:formatCode>#,##0</c:formatCode>
                <c:ptCount val="17"/>
                <c:pt idx="0">
                  <c:v>23000</c:v>
                </c:pt>
                <c:pt idx="1">
                  <c:v>23250</c:v>
                </c:pt>
                <c:pt idx="2">
                  <c:v>23500</c:v>
                </c:pt>
                <c:pt idx="3">
                  <c:v>23750</c:v>
                </c:pt>
                <c:pt idx="4">
                  <c:v>24000</c:v>
                </c:pt>
                <c:pt idx="5">
                  <c:v>24250</c:v>
                </c:pt>
                <c:pt idx="6">
                  <c:v>24500</c:v>
                </c:pt>
                <c:pt idx="7">
                  <c:v>24750</c:v>
                </c:pt>
                <c:pt idx="8">
                  <c:v>25000</c:v>
                </c:pt>
                <c:pt idx="9">
                  <c:v>25250</c:v>
                </c:pt>
                <c:pt idx="10">
                  <c:v>25500</c:v>
                </c:pt>
                <c:pt idx="11">
                  <c:v>25750</c:v>
                </c:pt>
                <c:pt idx="12">
                  <c:v>26000</c:v>
                </c:pt>
                <c:pt idx="13">
                  <c:v>26250</c:v>
                </c:pt>
                <c:pt idx="14">
                  <c:v>26500</c:v>
                </c:pt>
                <c:pt idx="15">
                  <c:v>26750</c:v>
                </c:pt>
                <c:pt idx="16">
                  <c:v>27000</c:v>
                </c:pt>
              </c:numCache>
            </c:numRef>
          </c:xVal>
          <c:yVal>
            <c:numRef>
              <c:f>2_Buy_Put!$C$14:$C$30</c:f>
              <c:numCache>
                <c:formatCode>#,##0.0;[RED]\-#,##0.0</c:formatCode>
                <c:ptCount val="17"/>
                <c:pt idx="0">
                  <c:v>1521.69573442598</c:v>
                </c:pt>
                <c:pt idx="1">
                  <c:v>1283.5004001141</c:v>
                </c:pt>
                <c:pt idx="2">
                  <c:v>1052.83774822438</c:v>
                </c:pt>
                <c:pt idx="3">
                  <c:v>832.765087159536</c:v>
                </c:pt>
                <c:pt idx="4">
                  <c:v>626.661280282271</c:v>
                </c:pt>
                <c:pt idx="5">
                  <c:v>437.878744113285</c:v>
                </c:pt>
                <c:pt idx="6">
                  <c:v>269.324372187279</c:v>
                </c:pt>
                <c:pt idx="7">
                  <c:v>123.057729117636</c:v>
                </c:pt>
                <c:pt idx="8">
                  <c:v>0</c:v>
                </c:pt>
                <c:pt idx="9">
                  <c:v>-100.17836698704</c:v>
                </c:pt>
                <c:pt idx="10">
                  <c:v>-178.970806566476</c:v>
                </c:pt>
                <c:pt idx="11">
                  <c:v>-238.779671480715</c:v>
                </c:pt>
                <c:pt idx="12">
                  <c:v>-282.561951828798</c:v>
                </c:pt>
                <c:pt idx="13">
                  <c:v>-313.457521503825</c:v>
                </c:pt>
                <c:pt idx="14">
                  <c:v>-334.470178653522</c:v>
                </c:pt>
                <c:pt idx="15">
                  <c:v>-348.244265840105</c:v>
                </c:pt>
                <c:pt idx="16">
                  <c:v>-356.948339812372</c:v>
                </c:pt>
              </c:numCache>
            </c:numRef>
          </c:yVal>
          <c:smooth val="1"/>
        </c:ser>
        <c:ser>
          <c:idx val="1"/>
          <c:order val="1"/>
          <c:tx>
            <c:strRef>
              <c:f>2_Buy_Put!D13</c:f>
              <c:strCache>
                <c:ptCount val="1"/>
                <c:pt idx="0">
                  <c:v>Guess 1: delta only</c:v>
                </c:pt>
              </c:strCache>
            </c:strRef>
          </c:tx>
          <c:spPr>
            <a:solidFill>
              <a:srgbClr val="c00000"/>
            </a:solidFill>
            <a:ln w="28080">
              <a:solidFill>
                <a:srgbClr val="c00000"/>
              </a:solidFill>
              <a:prstDash val="dash"/>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xVal>
            <c:numRef>
              <c:f>2_Buy_Put!$A$14:$A$30</c:f>
              <c:numCache>
                <c:formatCode>#,##0</c:formatCode>
                <c:ptCount val="17"/>
                <c:pt idx="0">
                  <c:v>23000</c:v>
                </c:pt>
                <c:pt idx="1">
                  <c:v>23250</c:v>
                </c:pt>
                <c:pt idx="2">
                  <c:v>23500</c:v>
                </c:pt>
                <c:pt idx="3">
                  <c:v>23750</c:v>
                </c:pt>
                <c:pt idx="4">
                  <c:v>24000</c:v>
                </c:pt>
                <c:pt idx="5">
                  <c:v>24250</c:v>
                </c:pt>
                <c:pt idx="6">
                  <c:v>24500</c:v>
                </c:pt>
                <c:pt idx="7">
                  <c:v>24750</c:v>
                </c:pt>
                <c:pt idx="8">
                  <c:v>25000</c:v>
                </c:pt>
                <c:pt idx="9">
                  <c:v>25250</c:v>
                </c:pt>
                <c:pt idx="10">
                  <c:v>25500</c:v>
                </c:pt>
                <c:pt idx="11">
                  <c:v>25750</c:v>
                </c:pt>
                <c:pt idx="12">
                  <c:v>26000</c:v>
                </c:pt>
                <c:pt idx="13">
                  <c:v>26250</c:v>
                </c:pt>
                <c:pt idx="14">
                  <c:v>26500</c:v>
                </c:pt>
                <c:pt idx="15">
                  <c:v>26750</c:v>
                </c:pt>
                <c:pt idx="16">
                  <c:v>27000</c:v>
                </c:pt>
              </c:numCache>
            </c:numRef>
          </c:xVal>
          <c:yVal>
            <c:numRef>
              <c:f>2_Buy_Put!$D$14:$D$30</c:f>
              <c:numCache>
                <c:formatCode>#,##0.0;[RED]\-#,##0.0</c:formatCode>
                <c:ptCount val="17"/>
                <c:pt idx="0">
                  <c:v>891.680355105719</c:v>
                </c:pt>
                <c:pt idx="1">
                  <c:v>780.220310717504</c:v>
                </c:pt>
                <c:pt idx="2">
                  <c:v>668.76026632929</c:v>
                </c:pt>
                <c:pt idx="3">
                  <c:v>557.300221941075</c:v>
                </c:pt>
                <c:pt idx="4">
                  <c:v>445.84017755286</c:v>
                </c:pt>
                <c:pt idx="5">
                  <c:v>334.380133164645</c:v>
                </c:pt>
                <c:pt idx="6">
                  <c:v>222.92008877643</c:v>
                </c:pt>
                <c:pt idx="7">
                  <c:v>111.460044388215</c:v>
                </c:pt>
                <c:pt idx="8">
                  <c:v>-0</c:v>
                </c:pt>
                <c:pt idx="9">
                  <c:v>-111.460044388215</c:v>
                </c:pt>
                <c:pt idx="10">
                  <c:v>-222.92008877643</c:v>
                </c:pt>
                <c:pt idx="11">
                  <c:v>-334.380133164645</c:v>
                </c:pt>
                <c:pt idx="12">
                  <c:v>-445.84017755286</c:v>
                </c:pt>
                <c:pt idx="13">
                  <c:v>-557.300221941075</c:v>
                </c:pt>
                <c:pt idx="14">
                  <c:v>-668.76026632929</c:v>
                </c:pt>
                <c:pt idx="15">
                  <c:v>-780.220310717504</c:v>
                </c:pt>
                <c:pt idx="16">
                  <c:v>-891.680355105719</c:v>
                </c:pt>
              </c:numCache>
            </c:numRef>
          </c:yVal>
          <c:smooth val="1"/>
        </c:ser>
        <c:ser>
          <c:idx val="2"/>
          <c:order val="2"/>
          <c:tx>
            <c:strRef>
              <c:f>2_Buy_Put!E13</c:f>
              <c:strCache>
                <c:ptCount val="1"/>
                <c:pt idx="0">
                  <c:v>Guess 2: delta + gamma</c:v>
                </c:pt>
              </c:strCache>
            </c:strRef>
          </c:tx>
          <c:spPr>
            <a:solidFill>
              <a:srgbClr val="70ad47"/>
            </a:solidFill>
            <a:ln w="28080">
              <a:solidFill>
                <a:srgbClr val="70ad47"/>
              </a:solidFill>
              <a:prstDash val="sysDot"/>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xVal>
            <c:numRef>
              <c:f>2_Buy_Put!$A$14:$A$30</c:f>
              <c:numCache>
                <c:formatCode>#,##0</c:formatCode>
                <c:ptCount val="17"/>
                <c:pt idx="0">
                  <c:v>23000</c:v>
                </c:pt>
                <c:pt idx="1">
                  <c:v>23250</c:v>
                </c:pt>
                <c:pt idx="2">
                  <c:v>23500</c:v>
                </c:pt>
                <c:pt idx="3">
                  <c:v>23750</c:v>
                </c:pt>
                <c:pt idx="4">
                  <c:v>24000</c:v>
                </c:pt>
                <c:pt idx="5">
                  <c:v>24250</c:v>
                </c:pt>
                <c:pt idx="6">
                  <c:v>24500</c:v>
                </c:pt>
                <c:pt idx="7">
                  <c:v>24750</c:v>
                </c:pt>
                <c:pt idx="8">
                  <c:v>25000</c:v>
                </c:pt>
                <c:pt idx="9">
                  <c:v>25250</c:v>
                </c:pt>
                <c:pt idx="10">
                  <c:v>25500</c:v>
                </c:pt>
                <c:pt idx="11">
                  <c:v>25750</c:v>
                </c:pt>
                <c:pt idx="12">
                  <c:v>26000</c:v>
                </c:pt>
                <c:pt idx="13">
                  <c:v>26250</c:v>
                </c:pt>
                <c:pt idx="14">
                  <c:v>26500</c:v>
                </c:pt>
                <c:pt idx="15">
                  <c:v>26750</c:v>
                </c:pt>
                <c:pt idx="16">
                  <c:v>27000</c:v>
                </c:pt>
              </c:numCache>
            </c:numRef>
          </c:xVal>
          <c:yVal>
            <c:numRef>
              <c:f>2_Buy_Put!$E$14:$E$30</c:f>
              <c:numCache>
                <c:formatCode>#,##0.0;[RED]\-#,##0.0</c:formatCode>
                <c:ptCount val="17"/>
                <c:pt idx="0">
                  <c:v>1626.98567343155</c:v>
                </c:pt>
                <c:pt idx="1">
                  <c:v>1343.18844506072</c:v>
                </c:pt>
                <c:pt idx="2">
                  <c:v>1082.36950788757</c:v>
                </c:pt>
                <c:pt idx="3">
                  <c:v>844.528861912102</c:v>
                </c:pt>
                <c:pt idx="4">
                  <c:v>629.666507134317</c:v>
                </c:pt>
                <c:pt idx="5">
                  <c:v>437.782443554215</c:v>
                </c:pt>
                <c:pt idx="6">
                  <c:v>268.876671171794</c:v>
                </c:pt>
                <c:pt idx="7">
                  <c:v>122.949189987056</c:v>
                </c:pt>
                <c:pt idx="8">
                  <c:v>0</c:v>
                </c:pt>
                <c:pt idx="9">
                  <c:v>-99.9708987893738</c:v>
                </c:pt>
                <c:pt idx="10">
                  <c:v>-176.963506381065</c:v>
                </c:pt>
                <c:pt idx="11">
                  <c:v>-230.977822775075</c:v>
                </c:pt>
                <c:pt idx="12">
                  <c:v>-262.013847971402</c:v>
                </c:pt>
                <c:pt idx="13">
                  <c:v>-270.071581970047</c:v>
                </c:pt>
                <c:pt idx="14">
                  <c:v>-255.15102477101</c:v>
                </c:pt>
                <c:pt idx="15">
                  <c:v>-217.252176374291</c:v>
                </c:pt>
                <c:pt idx="16">
                  <c:v>-156.375036779889</c:v>
                </c:pt>
              </c:numCache>
            </c:numRef>
          </c:yVal>
          <c:smooth val="1"/>
        </c:ser>
        <c:axId val="68490728"/>
        <c:axId val="88627723"/>
      </c:scatterChart>
      <c:valAx>
        <c:axId val="68490728"/>
        <c:scaling>
          <c:orientation val="minMax"/>
          <c:max val="27000"/>
          <c:min val="23000"/>
        </c:scaling>
        <c:delete val="0"/>
        <c:axPos val="b"/>
        <c:majorGridlines>
          <c:spPr>
            <a:ln w="9360">
              <a:solidFill>
                <a:srgbClr val="878787"/>
              </a:solidFill>
              <a:round/>
            </a:ln>
          </c:spPr>
        </c:majorGridlines>
        <c:title>
          <c:tx>
            <c:rich>
              <a:bodyPr rot="0"/>
              <a:lstStyle/>
              <a:p>
                <a:pPr>
                  <a:defRPr b="1" sz="1000" spc="-1" strike="noStrike">
                    <a:solidFill>
                      <a:srgbClr val="000000"/>
                    </a:solidFill>
                    <a:latin typeface="Calibri"/>
                  </a:defRPr>
                </a:pPr>
                <a:r>
                  <a:rPr b="1" sz="1000" spc="-1" strike="noStrike">
                    <a:solidFill>
                      <a:srgbClr val="000000"/>
                    </a:solidFill>
                    <a:latin typeface="Calibri"/>
                  </a:rPr>
                  <a:t>Index level at the moment of the move (points)</a:t>
                </a:r>
              </a:p>
            </c:rich>
          </c:tx>
          <c:overlay val="0"/>
          <c:spPr>
            <a:noFill/>
            <a:ln w="0">
              <a:noFill/>
            </a:ln>
          </c:spPr>
        </c:title>
        <c:numFmt formatCode="#,##0" sourceLinked="1"/>
        <c:majorTickMark val="none"/>
        <c:minorTickMark val="none"/>
        <c:tickLblPos val="low"/>
        <c:spPr>
          <a:ln w="9360">
            <a:solidFill>
              <a:srgbClr val="878787"/>
            </a:solidFill>
            <a:round/>
          </a:ln>
        </c:spPr>
        <c:txPr>
          <a:bodyPr/>
          <a:lstStyle/>
          <a:p>
            <a:pPr>
              <a:defRPr b="0" sz="1000" spc="-1" strike="noStrike">
                <a:solidFill>
                  <a:srgbClr val="000000"/>
                </a:solidFill>
                <a:latin typeface="Calibri"/>
              </a:defRPr>
            </a:pPr>
          </a:p>
        </c:txPr>
        <c:crossAx val="88627723"/>
        <c:crosses val="autoZero"/>
        <c:crossBetween val="midCat"/>
      </c:valAx>
      <c:valAx>
        <c:axId val="88627723"/>
        <c:scaling>
          <c:orientation val="minMax"/>
        </c:scaling>
        <c:delete val="0"/>
        <c:axPos val="l"/>
        <c:majorGridlines>
          <c:spPr>
            <a:ln w="9360">
              <a:solidFill>
                <a:srgbClr val="878787"/>
              </a:solidFill>
              <a:round/>
            </a:ln>
          </c:spPr>
        </c:majorGridlines>
        <c:title>
          <c:tx>
            <c:rich>
              <a:bodyPr rot="-5400000"/>
              <a:lstStyle/>
              <a:p>
                <a:pPr>
                  <a:defRPr b="1" sz="1000" spc="-1" strike="noStrike">
                    <a:solidFill>
                      <a:srgbClr val="000000"/>
                    </a:solidFill>
                    <a:latin typeface="Calibri"/>
                  </a:defRPr>
                </a:pPr>
                <a:r>
                  <a:rPr b="1" sz="1000" spc="-1" strike="noStrike">
                    <a:solidFill>
                      <a:srgbClr val="000000"/>
                    </a:solidFill>
                    <a:latin typeface="Calibri"/>
                  </a:rPr>
                  <a:t>Change in value (points)</a:t>
                </a:r>
              </a:p>
            </c:rich>
          </c:tx>
          <c:overlay val="0"/>
          <c:spPr>
            <a:noFill/>
            <a:ln w="0">
              <a:noFill/>
            </a:ln>
          </c:spPr>
        </c:title>
        <c:numFmt formatCode="#,##0.0;[RED]\-#,##0.0" sourceLinked="1"/>
        <c:majorTickMark val="none"/>
        <c:minorTickMark val="none"/>
        <c:tickLblPos val="low"/>
        <c:spPr>
          <a:ln w="9360">
            <a:solidFill>
              <a:srgbClr val="878787"/>
            </a:solidFill>
            <a:round/>
          </a:ln>
        </c:spPr>
        <c:txPr>
          <a:bodyPr/>
          <a:lstStyle/>
          <a:p>
            <a:pPr>
              <a:defRPr b="0" sz="1000" spc="-1" strike="noStrike">
                <a:solidFill>
                  <a:srgbClr val="000000"/>
                </a:solidFill>
                <a:latin typeface="Calibri"/>
              </a:defRPr>
            </a:pPr>
          </a:p>
        </c:txPr>
        <c:crossAx val="68490728"/>
        <c:crosses val="autoZero"/>
        <c:crossBetween val="midCat"/>
      </c:valAx>
      <c:spPr>
        <a:noFill/>
        <a:ln w="0">
          <a:noFill/>
        </a:ln>
      </c:spPr>
    </c:plotArea>
    <c:legend>
      <c:legendPos val="b"/>
      <c:overlay val="0"/>
      <c:spPr>
        <a:noFill/>
        <a:ln w="0">
          <a:noFill/>
        </a:ln>
      </c:spPr>
      <c:txPr>
        <a:bodyPr/>
        <a:lstStyle/>
        <a:p>
          <a:pPr>
            <a:defRPr b="0" sz="1000" spc="-1" strike="noStrike">
              <a:solidFill>
                <a:srgbClr val="000000"/>
              </a:solidFill>
              <a:latin typeface="Calibri"/>
            </a:defRPr>
          </a:pPr>
        </a:p>
      </c:txPr>
    </c:legend>
    <c:plotVisOnly val="1"/>
    <c:dispBlanksAs val="gap"/>
  </c:chart>
  <c:spPr>
    <a:solidFill>
      <a:srgbClr val="ffffff"/>
    </a:solidFill>
    <a:ln w="9360">
      <a:solidFill>
        <a:srgbClr val="d9d9d9"/>
      </a:solidFill>
      <a:round/>
    </a:ln>
  </c:spPr>
</c:chartSpace>
</file>

<file path=xl/charts/chart2.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1" sz="1800" spc="-1" strike="noStrike">
                <a:solidFill>
                  <a:srgbClr val="000000"/>
                </a:solidFill>
                <a:latin typeface="Calibri"/>
              </a:defRPr>
            </a:pPr>
            <a:r>
              <a:rPr b="1" sz="1800" spc="-1" strike="noStrike">
                <a:solidFill>
                  <a:srgbClr val="000000"/>
                </a:solidFill>
                <a:latin typeface="Calibri"/>
              </a:rPr>
              <a:t>Sell a call: value change vs index level</a:t>
            </a:r>
          </a:p>
        </c:rich>
      </c:tx>
      <c:overlay val="0"/>
      <c:spPr>
        <a:noFill/>
        <a:ln w="0">
          <a:noFill/>
        </a:ln>
      </c:spPr>
    </c:title>
    <c:autoTitleDeleted val="0"/>
    <c:plotArea>
      <c:scatterChart>
        <c:scatterStyle val="line"/>
        <c:varyColors val="0"/>
        <c:ser>
          <c:idx val="0"/>
          <c:order val="0"/>
          <c:tx>
            <c:strRef>
              <c:f>3_Sell_Call!C13</c:f>
              <c:strCache>
                <c:ptCount val="1"/>
                <c:pt idx="0">
                  <c:v>Real change in value (BSM)</c:v>
                </c:pt>
              </c:strCache>
            </c:strRef>
          </c:tx>
          <c:spPr>
            <a:solidFill>
              <a:srgbClr val="1f4e79"/>
            </a:solidFill>
            <a:ln w="28080">
              <a:solidFill>
                <a:srgbClr val="1f4e79"/>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xVal>
            <c:numRef>
              <c:f>3_Sell_Call!$A$14:$A$30</c:f>
              <c:numCache>
                <c:formatCode>#,##0</c:formatCode>
                <c:ptCount val="17"/>
                <c:pt idx="0">
                  <c:v>23000</c:v>
                </c:pt>
                <c:pt idx="1">
                  <c:v>23250</c:v>
                </c:pt>
                <c:pt idx="2">
                  <c:v>23500</c:v>
                </c:pt>
                <c:pt idx="3">
                  <c:v>23750</c:v>
                </c:pt>
                <c:pt idx="4">
                  <c:v>24000</c:v>
                </c:pt>
                <c:pt idx="5">
                  <c:v>24250</c:v>
                </c:pt>
                <c:pt idx="6">
                  <c:v>24500</c:v>
                </c:pt>
                <c:pt idx="7">
                  <c:v>24750</c:v>
                </c:pt>
                <c:pt idx="8">
                  <c:v>25000</c:v>
                </c:pt>
                <c:pt idx="9">
                  <c:v>25250</c:v>
                </c:pt>
                <c:pt idx="10">
                  <c:v>25500</c:v>
                </c:pt>
                <c:pt idx="11">
                  <c:v>25750</c:v>
                </c:pt>
                <c:pt idx="12">
                  <c:v>26000</c:v>
                </c:pt>
                <c:pt idx="13">
                  <c:v>26250</c:v>
                </c:pt>
                <c:pt idx="14">
                  <c:v>26500</c:v>
                </c:pt>
                <c:pt idx="15">
                  <c:v>26750</c:v>
                </c:pt>
                <c:pt idx="16">
                  <c:v>27000</c:v>
                </c:pt>
              </c:numCache>
            </c:numRef>
          </c:xVal>
          <c:yVal>
            <c:numRef>
              <c:f>3_Sell_Call!$C$14:$C$30</c:f>
              <c:numCache>
                <c:formatCode>#,##0.0;[RED]\-#,##0.0</c:formatCode>
                <c:ptCount val="17"/>
                <c:pt idx="0">
                  <c:v>478.304265574026</c:v>
                </c:pt>
                <c:pt idx="1">
                  <c:v>466.499599885907</c:v>
                </c:pt>
                <c:pt idx="2">
                  <c:v>447.162251775622</c:v>
                </c:pt>
                <c:pt idx="3">
                  <c:v>417.234912840468</c:v>
                </c:pt>
                <c:pt idx="4">
                  <c:v>373.33871971773</c:v>
                </c:pt>
                <c:pt idx="5">
                  <c:v>312.121255886718</c:v>
                </c:pt>
                <c:pt idx="6">
                  <c:v>230.675627812723</c:v>
                </c:pt>
                <c:pt idx="7">
                  <c:v>126.942270882366</c:v>
                </c:pt>
                <c:pt idx="8">
                  <c:v>-0</c:v>
                </c:pt>
                <c:pt idx="9">
                  <c:v>-149.821633012958</c:v>
                </c:pt>
                <c:pt idx="10">
                  <c:v>-321.029193433524</c:v>
                </c:pt>
                <c:pt idx="11">
                  <c:v>-511.220328519286</c:v>
                </c:pt>
                <c:pt idx="12">
                  <c:v>-717.438048171201</c:v>
                </c:pt>
                <c:pt idx="13">
                  <c:v>-936.542478496174</c:v>
                </c:pt>
                <c:pt idx="14">
                  <c:v>-1165.52982134648</c:v>
                </c:pt>
                <c:pt idx="15">
                  <c:v>-1401.7557341599</c:v>
                </c:pt>
                <c:pt idx="16">
                  <c:v>-1643.05166018763</c:v>
                </c:pt>
              </c:numCache>
            </c:numRef>
          </c:yVal>
          <c:smooth val="1"/>
        </c:ser>
        <c:ser>
          <c:idx val="1"/>
          <c:order val="1"/>
          <c:tx>
            <c:strRef>
              <c:f>3_Sell_Call!D13</c:f>
              <c:strCache>
                <c:ptCount val="1"/>
                <c:pt idx="0">
                  <c:v>Guess 1: delta only</c:v>
                </c:pt>
              </c:strCache>
            </c:strRef>
          </c:tx>
          <c:spPr>
            <a:solidFill>
              <a:srgbClr val="c00000"/>
            </a:solidFill>
            <a:ln w="28080">
              <a:solidFill>
                <a:srgbClr val="c00000"/>
              </a:solidFill>
              <a:prstDash val="dash"/>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xVal>
            <c:numRef>
              <c:f>3_Sell_Call!$A$14:$A$30</c:f>
              <c:numCache>
                <c:formatCode>#,##0</c:formatCode>
                <c:ptCount val="17"/>
                <c:pt idx="0">
                  <c:v>23000</c:v>
                </c:pt>
                <c:pt idx="1">
                  <c:v>23250</c:v>
                </c:pt>
                <c:pt idx="2">
                  <c:v>23500</c:v>
                </c:pt>
                <c:pt idx="3">
                  <c:v>23750</c:v>
                </c:pt>
                <c:pt idx="4">
                  <c:v>24000</c:v>
                </c:pt>
                <c:pt idx="5">
                  <c:v>24250</c:v>
                </c:pt>
                <c:pt idx="6">
                  <c:v>24500</c:v>
                </c:pt>
                <c:pt idx="7">
                  <c:v>24750</c:v>
                </c:pt>
                <c:pt idx="8">
                  <c:v>25000</c:v>
                </c:pt>
                <c:pt idx="9">
                  <c:v>25250</c:v>
                </c:pt>
                <c:pt idx="10">
                  <c:v>25500</c:v>
                </c:pt>
                <c:pt idx="11">
                  <c:v>25750</c:v>
                </c:pt>
                <c:pt idx="12">
                  <c:v>26000</c:v>
                </c:pt>
                <c:pt idx="13">
                  <c:v>26250</c:v>
                </c:pt>
                <c:pt idx="14">
                  <c:v>26500</c:v>
                </c:pt>
                <c:pt idx="15">
                  <c:v>26750</c:v>
                </c:pt>
                <c:pt idx="16">
                  <c:v>27000</c:v>
                </c:pt>
              </c:numCache>
            </c:numRef>
          </c:xVal>
          <c:yVal>
            <c:numRef>
              <c:f>3_Sell_Call!$D$14:$D$30</c:f>
              <c:numCache>
                <c:formatCode>#,##0.0;[RED]\-#,##0.0</c:formatCode>
                <c:ptCount val="17"/>
                <c:pt idx="0">
                  <c:v>1108.31964489428</c:v>
                </c:pt>
                <c:pt idx="1">
                  <c:v>969.779689282496</c:v>
                </c:pt>
                <c:pt idx="2">
                  <c:v>831.239733670711</c:v>
                </c:pt>
                <c:pt idx="3">
                  <c:v>692.699778058925</c:v>
                </c:pt>
                <c:pt idx="4">
                  <c:v>554.15982244714</c:v>
                </c:pt>
                <c:pt idx="5">
                  <c:v>415.619866835355</c:v>
                </c:pt>
                <c:pt idx="6">
                  <c:v>277.07991122357</c:v>
                </c:pt>
                <c:pt idx="7">
                  <c:v>138.539955611785</c:v>
                </c:pt>
                <c:pt idx="8">
                  <c:v>-0</c:v>
                </c:pt>
                <c:pt idx="9">
                  <c:v>-138.539955611785</c:v>
                </c:pt>
                <c:pt idx="10">
                  <c:v>-277.07991122357</c:v>
                </c:pt>
                <c:pt idx="11">
                  <c:v>-415.619866835355</c:v>
                </c:pt>
                <c:pt idx="12">
                  <c:v>-554.15982244714</c:v>
                </c:pt>
                <c:pt idx="13">
                  <c:v>-692.699778058925</c:v>
                </c:pt>
                <c:pt idx="14">
                  <c:v>-831.239733670711</c:v>
                </c:pt>
                <c:pt idx="15">
                  <c:v>-969.779689282496</c:v>
                </c:pt>
                <c:pt idx="16">
                  <c:v>-1108.31964489428</c:v>
                </c:pt>
              </c:numCache>
            </c:numRef>
          </c:yVal>
          <c:smooth val="1"/>
        </c:ser>
        <c:ser>
          <c:idx val="2"/>
          <c:order val="2"/>
          <c:tx>
            <c:strRef>
              <c:f>3_Sell_Call!E13</c:f>
              <c:strCache>
                <c:ptCount val="1"/>
                <c:pt idx="0">
                  <c:v>Guess 2: delta + gamma</c:v>
                </c:pt>
              </c:strCache>
            </c:strRef>
          </c:tx>
          <c:spPr>
            <a:solidFill>
              <a:srgbClr val="70ad47"/>
            </a:solidFill>
            <a:ln w="28080">
              <a:solidFill>
                <a:srgbClr val="70ad47"/>
              </a:solidFill>
              <a:prstDash val="sysDot"/>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xVal>
            <c:numRef>
              <c:f>3_Sell_Call!$A$14:$A$30</c:f>
              <c:numCache>
                <c:formatCode>#,##0</c:formatCode>
                <c:ptCount val="17"/>
                <c:pt idx="0">
                  <c:v>23000</c:v>
                </c:pt>
                <c:pt idx="1">
                  <c:v>23250</c:v>
                </c:pt>
                <c:pt idx="2">
                  <c:v>23500</c:v>
                </c:pt>
                <c:pt idx="3">
                  <c:v>23750</c:v>
                </c:pt>
                <c:pt idx="4">
                  <c:v>24000</c:v>
                </c:pt>
                <c:pt idx="5">
                  <c:v>24250</c:v>
                </c:pt>
                <c:pt idx="6">
                  <c:v>24500</c:v>
                </c:pt>
                <c:pt idx="7">
                  <c:v>24750</c:v>
                </c:pt>
                <c:pt idx="8">
                  <c:v>25000</c:v>
                </c:pt>
                <c:pt idx="9">
                  <c:v>25250</c:v>
                </c:pt>
                <c:pt idx="10">
                  <c:v>25500</c:v>
                </c:pt>
                <c:pt idx="11">
                  <c:v>25750</c:v>
                </c:pt>
                <c:pt idx="12">
                  <c:v>26000</c:v>
                </c:pt>
                <c:pt idx="13">
                  <c:v>26250</c:v>
                </c:pt>
                <c:pt idx="14">
                  <c:v>26500</c:v>
                </c:pt>
                <c:pt idx="15">
                  <c:v>26750</c:v>
                </c:pt>
                <c:pt idx="16">
                  <c:v>27000</c:v>
                </c:pt>
              </c:numCache>
            </c:numRef>
          </c:xVal>
          <c:yVal>
            <c:numRef>
              <c:f>3_Sell_Call!$E$14:$E$30</c:f>
              <c:numCache>
                <c:formatCode>#,##0.0;[RED]\-#,##0.0</c:formatCode>
                <c:ptCount val="17"/>
                <c:pt idx="0">
                  <c:v>373.014326568451</c:v>
                </c:pt>
                <c:pt idx="1">
                  <c:v>406.811554939282</c:v>
                </c:pt>
                <c:pt idx="2">
                  <c:v>417.630492112431</c:v>
                </c:pt>
                <c:pt idx="3">
                  <c:v>405.471138087898</c:v>
                </c:pt>
                <c:pt idx="4">
                  <c:v>370.333492865683</c:v>
                </c:pt>
                <c:pt idx="5">
                  <c:v>312.217556445785</c:v>
                </c:pt>
                <c:pt idx="6">
                  <c:v>231.123328828206</c:v>
                </c:pt>
                <c:pt idx="7">
                  <c:v>127.050810012944</c:v>
                </c:pt>
                <c:pt idx="8">
                  <c:v>-0</c:v>
                </c:pt>
                <c:pt idx="9">
                  <c:v>-150.029101210626</c:v>
                </c:pt>
                <c:pt idx="10">
                  <c:v>-323.036493618935</c:v>
                </c:pt>
                <c:pt idx="11">
                  <c:v>-519.022177224925</c:v>
                </c:pt>
                <c:pt idx="12">
                  <c:v>-737.986152028598</c:v>
                </c:pt>
                <c:pt idx="13">
                  <c:v>-979.928418029953</c:v>
                </c:pt>
                <c:pt idx="14">
                  <c:v>-1244.84897522899</c:v>
                </c:pt>
                <c:pt idx="15">
                  <c:v>-1532.74782362571</c:v>
                </c:pt>
                <c:pt idx="16">
                  <c:v>-1843.62496322011</c:v>
                </c:pt>
              </c:numCache>
            </c:numRef>
          </c:yVal>
          <c:smooth val="1"/>
        </c:ser>
        <c:axId val="76534511"/>
        <c:axId val="16863263"/>
      </c:scatterChart>
      <c:valAx>
        <c:axId val="76534511"/>
        <c:scaling>
          <c:orientation val="minMax"/>
          <c:max val="27000"/>
          <c:min val="23000"/>
        </c:scaling>
        <c:delete val="0"/>
        <c:axPos val="b"/>
        <c:majorGridlines>
          <c:spPr>
            <a:ln w="9360">
              <a:solidFill>
                <a:srgbClr val="878787"/>
              </a:solidFill>
              <a:round/>
            </a:ln>
          </c:spPr>
        </c:majorGridlines>
        <c:title>
          <c:tx>
            <c:rich>
              <a:bodyPr rot="0"/>
              <a:lstStyle/>
              <a:p>
                <a:pPr>
                  <a:defRPr b="1" sz="1000" spc="-1" strike="noStrike">
                    <a:solidFill>
                      <a:srgbClr val="000000"/>
                    </a:solidFill>
                    <a:latin typeface="Calibri"/>
                  </a:defRPr>
                </a:pPr>
                <a:r>
                  <a:rPr b="1" sz="1000" spc="-1" strike="noStrike">
                    <a:solidFill>
                      <a:srgbClr val="000000"/>
                    </a:solidFill>
                    <a:latin typeface="Calibri"/>
                  </a:rPr>
                  <a:t>Index level at the moment of the move (points)</a:t>
                </a:r>
              </a:p>
            </c:rich>
          </c:tx>
          <c:overlay val="0"/>
          <c:spPr>
            <a:noFill/>
            <a:ln w="0">
              <a:noFill/>
            </a:ln>
          </c:spPr>
        </c:title>
        <c:numFmt formatCode="#,##0" sourceLinked="1"/>
        <c:majorTickMark val="none"/>
        <c:minorTickMark val="none"/>
        <c:tickLblPos val="low"/>
        <c:spPr>
          <a:ln w="9360">
            <a:solidFill>
              <a:srgbClr val="878787"/>
            </a:solidFill>
            <a:round/>
          </a:ln>
        </c:spPr>
        <c:txPr>
          <a:bodyPr/>
          <a:lstStyle/>
          <a:p>
            <a:pPr>
              <a:defRPr b="0" sz="1000" spc="-1" strike="noStrike">
                <a:solidFill>
                  <a:srgbClr val="000000"/>
                </a:solidFill>
                <a:latin typeface="Calibri"/>
              </a:defRPr>
            </a:pPr>
          </a:p>
        </c:txPr>
        <c:crossAx val="16863263"/>
        <c:crosses val="autoZero"/>
        <c:crossBetween val="midCat"/>
      </c:valAx>
      <c:valAx>
        <c:axId val="16863263"/>
        <c:scaling>
          <c:orientation val="minMax"/>
        </c:scaling>
        <c:delete val="0"/>
        <c:axPos val="l"/>
        <c:majorGridlines>
          <c:spPr>
            <a:ln w="9360">
              <a:solidFill>
                <a:srgbClr val="878787"/>
              </a:solidFill>
              <a:round/>
            </a:ln>
          </c:spPr>
        </c:majorGridlines>
        <c:title>
          <c:tx>
            <c:rich>
              <a:bodyPr rot="-5400000"/>
              <a:lstStyle/>
              <a:p>
                <a:pPr>
                  <a:defRPr b="1" sz="1000" spc="-1" strike="noStrike">
                    <a:solidFill>
                      <a:srgbClr val="000000"/>
                    </a:solidFill>
                    <a:latin typeface="Calibri"/>
                  </a:defRPr>
                </a:pPr>
                <a:r>
                  <a:rPr b="1" sz="1000" spc="-1" strike="noStrike">
                    <a:solidFill>
                      <a:srgbClr val="000000"/>
                    </a:solidFill>
                    <a:latin typeface="Calibri"/>
                  </a:rPr>
                  <a:t>Change in value (points)</a:t>
                </a:r>
              </a:p>
            </c:rich>
          </c:tx>
          <c:overlay val="0"/>
          <c:spPr>
            <a:noFill/>
            <a:ln w="0">
              <a:noFill/>
            </a:ln>
          </c:spPr>
        </c:title>
        <c:numFmt formatCode="#,##0.0;[RED]\-#,##0.0" sourceLinked="1"/>
        <c:majorTickMark val="none"/>
        <c:minorTickMark val="none"/>
        <c:tickLblPos val="low"/>
        <c:spPr>
          <a:ln w="9360">
            <a:solidFill>
              <a:srgbClr val="878787"/>
            </a:solidFill>
            <a:round/>
          </a:ln>
        </c:spPr>
        <c:txPr>
          <a:bodyPr/>
          <a:lstStyle/>
          <a:p>
            <a:pPr>
              <a:defRPr b="0" sz="1000" spc="-1" strike="noStrike">
                <a:solidFill>
                  <a:srgbClr val="000000"/>
                </a:solidFill>
                <a:latin typeface="Calibri"/>
              </a:defRPr>
            </a:pPr>
          </a:p>
        </c:txPr>
        <c:crossAx val="76534511"/>
        <c:crosses val="autoZero"/>
        <c:crossBetween val="midCat"/>
      </c:valAx>
      <c:spPr>
        <a:noFill/>
        <a:ln w="0">
          <a:noFill/>
        </a:ln>
      </c:spPr>
    </c:plotArea>
    <c:legend>
      <c:legendPos val="b"/>
      <c:overlay val="0"/>
      <c:spPr>
        <a:noFill/>
        <a:ln w="0">
          <a:noFill/>
        </a:ln>
      </c:spPr>
      <c:txPr>
        <a:bodyPr/>
        <a:lstStyle/>
        <a:p>
          <a:pPr>
            <a:defRPr b="0" sz="1000" spc="-1" strike="noStrike">
              <a:solidFill>
                <a:srgbClr val="000000"/>
              </a:solidFill>
              <a:latin typeface="Calibri"/>
            </a:defRPr>
          </a:pPr>
        </a:p>
      </c:txPr>
    </c:legend>
    <c:plotVisOnly val="1"/>
    <c:dispBlanksAs val="gap"/>
  </c:chart>
  <c:spPr>
    <a:solidFill>
      <a:srgbClr val="ffffff"/>
    </a:solidFill>
    <a:ln w="9360">
      <a:solidFill>
        <a:srgbClr val="d9d9d9"/>
      </a:solidFill>
      <a:round/>
    </a:ln>
  </c:spPr>
</c:chartSpace>
</file>

<file path=xl/charts/chart3.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1" sz="1800" spc="-1" strike="noStrike">
                <a:solidFill>
                  <a:srgbClr val="000000"/>
                </a:solidFill>
                <a:latin typeface="Calibri"/>
              </a:defRPr>
            </a:pPr>
            <a:r>
              <a:rPr b="1" sz="1800" spc="-1" strike="noStrike">
                <a:solidFill>
                  <a:srgbClr val="000000"/>
                </a:solidFill>
                <a:latin typeface="Calibri"/>
              </a:rPr>
              <a:t>Real change in value</a:t>
            </a:r>
          </a:p>
        </c:rich>
      </c:tx>
      <c:overlay val="0"/>
      <c:spPr>
        <a:noFill/>
        <a:ln w="0">
          <a:noFill/>
        </a:ln>
      </c:spPr>
    </c:title>
    <c:autoTitleDeleted val="0"/>
    <c:plotArea>
      <c:scatterChart>
        <c:scatterStyle val="line"/>
        <c:varyColors val="0"/>
        <c:ser>
          <c:idx val="0"/>
          <c:order val="0"/>
          <c:tx>
            <c:strRef>
              <c:f>4_Smile_vs_Frown!B9</c:f>
              <c:strCache>
                <c:ptCount val="1"/>
                <c:pt idx="0">
                  <c:v>Bought put: real change</c:v>
                </c:pt>
              </c:strCache>
            </c:strRef>
          </c:tx>
          <c:spPr>
            <a:solidFill>
              <a:srgbClr val="70ad47"/>
            </a:solidFill>
            <a:ln w="28080">
              <a:solidFill>
                <a:srgbClr val="70ad47"/>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xVal>
            <c:numRef>
              <c:f>4_Smile_vs_Frown!$A$10:$A$26</c:f>
              <c:numCache>
                <c:formatCode>#,##0</c:formatCode>
                <c:ptCount val="17"/>
                <c:pt idx="0">
                  <c:v>23000</c:v>
                </c:pt>
                <c:pt idx="1">
                  <c:v>23250</c:v>
                </c:pt>
                <c:pt idx="2">
                  <c:v>23500</c:v>
                </c:pt>
                <c:pt idx="3">
                  <c:v>23750</c:v>
                </c:pt>
                <c:pt idx="4">
                  <c:v>24000</c:v>
                </c:pt>
                <c:pt idx="5">
                  <c:v>24250</c:v>
                </c:pt>
                <c:pt idx="6">
                  <c:v>24500</c:v>
                </c:pt>
                <c:pt idx="7">
                  <c:v>24750</c:v>
                </c:pt>
                <c:pt idx="8">
                  <c:v>25000</c:v>
                </c:pt>
                <c:pt idx="9">
                  <c:v>25250</c:v>
                </c:pt>
                <c:pt idx="10">
                  <c:v>25500</c:v>
                </c:pt>
                <c:pt idx="11">
                  <c:v>25750</c:v>
                </c:pt>
                <c:pt idx="12">
                  <c:v>26000</c:v>
                </c:pt>
                <c:pt idx="13">
                  <c:v>26250</c:v>
                </c:pt>
                <c:pt idx="14">
                  <c:v>26500</c:v>
                </c:pt>
                <c:pt idx="15">
                  <c:v>26750</c:v>
                </c:pt>
                <c:pt idx="16">
                  <c:v>27000</c:v>
                </c:pt>
              </c:numCache>
            </c:numRef>
          </c:xVal>
          <c:yVal>
            <c:numRef>
              <c:f>4_Smile_vs_Frown!$B$10:$B$26</c:f>
              <c:numCache>
                <c:formatCode>#,##0.0;[RED]\-#,##0.0</c:formatCode>
                <c:ptCount val="17"/>
                <c:pt idx="0">
                  <c:v>1521.69573442598</c:v>
                </c:pt>
                <c:pt idx="1">
                  <c:v>1283.5004001141</c:v>
                </c:pt>
                <c:pt idx="2">
                  <c:v>1052.83774822438</c:v>
                </c:pt>
                <c:pt idx="3">
                  <c:v>832.765087159536</c:v>
                </c:pt>
                <c:pt idx="4">
                  <c:v>626.661280282271</c:v>
                </c:pt>
                <c:pt idx="5">
                  <c:v>437.878744113285</c:v>
                </c:pt>
                <c:pt idx="6">
                  <c:v>269.324372187279</c:v>
                </c:pt>
                <c:pt idx="7">
                  <c:v>123.057729117636</c:v>
                </c:pt>
                <c:pt idx="8">
                  <c:v>0</c:v>
                </c:pt>
                <c:pt idx="9">
                  <c:v>-100.17836698704</c:v>
                </c:pt>
                <c:pt idx="10">
                  <c:v>-178.970806566476</c:v>
                </c:pt>
                <c:pt idx="11">
                  <c:v>-238.779671480715</c:v>
                </c:pt>
                <c:pt idx="12">
                  <c:v>-282.561951828798</c:v>
                </c:pt>
                <c:pt idx="13">
                  <c:v>-313.457521503825</c:v>
                </c:pt>
                <c:pt idx="14">
                  <c:v>-334.470178653522</c:v>
                </c:pt>
                <c:pt idx="15">
                  <c:v>-348.244265840105</c:v>
                </c:pt>
                <c:pt idx="16">
                  <c:v>-356.948339812372</c:v>
                </c:pt>
              </c:numCache>
            </c:numRef>
          </c:yVal>
          <c:smooth val="1"/>
        </c:ser>
        <c:ser>
          <c:idx val="1"/>
          <c:order val="1"/>
          <c:tx>
            <c:strRef>
              <c:f>4_Smile_vs_Frown!C9</c:f>
              <c:strCache>
                <c:ptCount val="1"/>
                <c:pt idx="0">
                  <c:v>Sold call: real change</c:v>
                </c:pt>
              </c:strCache>
            </c:strRef>
          </c:tx>
          <c:spPr>
            <a:solidFill>
              <a:srgbClr val="c00000"/>
            </a:solidFill>
            <a:ln w="28080">
              <a:solidFill>
                <a:srgbClr val="c00000"/>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xVal>
            <c:numRef>
              <c:f>4_Smile_vs_Frown!$A$10:$A$26</c:f>
              <c:numCache>
                <c:formatCode>#,##0</c:formatCode>
                <c:ptCount val="17"/>
                <c:pt idx="0">
                  <c:v>23000</c:v>
                </c:pt>
                <c:pt idx="1">
                  <c:v>23250</c:v>
                </c:pt>
                <c:pt idx="2">
                  <c:v>23500</c:v>
                </c:pt>
                <c:pt idx="3">
                  <c:v>23750</c:v>
                </c:pt>
                <c:pt idx="4">
                  <c:v>24000</c:v>
                </c:pt>
                <c:pt idx="5">
                  <c:v>24250</c:v>
                </c:pt>
                <c:pt idx="6">
                  <c:v>24500</c:v>
                </c:pt>
                <c:pt idx="7">
                  <c:v>24750</c:v>
                </c:pt>
                <c:pt idx="8">
                  <c:v>25000</c:v>
                </c:pt>
                <c:pt idx="9">
                  <c:v>25250</c:v>
                </c:pt>
                <c:pt idx="10">
                  <c:v>25500</c:v>
                </c:pt>
                <c:pt idx="11">
                  <c:v>25750</c:v>
                </c:pt>
                <c:pt idx="12">
                  <c:v>26000</c:v>
                </c:pt>
                <c:pt idx="13">
                  <c:v>26250</c:v>
                </c:pt>
                <c:pt idx="14">
                  <c:v>26500</c:v>
                </c:pt>
                <c:pt idx="15">
                  <c:v>26750</c:v>
                </c:pt>
                <c:pt idx="16">
                  <c:v>27000</c:v>
                </c:pt>
              </c:numCache>
            </c:numRef>
          </c:xVal>
          <c:yVal>
            <c:numRef>
              <c:f>4_Smile_vs_Frown!$C$10:$C$26</c:f>
              <c:numCache>
                <c:formatCode>#,##0.0;[RED]\-#,##0.0</c:formatCode>
                <c:ptCount val="17"/>
                <c:pt idx="0">
                  <c:v>478.304265574026</c:v>
                </c:pt>
                <c:pt idx="1">
                  <c:v>466.499599885907</c:v>
                </c:pt>
                <c:pt idx="2">
                  <c:v>447.162251775622</c:v>
                </c:pt>
                <c:pt idx="3">
                  <c:v>417.234912840468</c:v>
                </c:pt>
                <c:pt idx="4">
                  <c:v>373.33871971773</c:v>
                </c:pt>
                <c:pt idx="5">
                  <c:v>312.121255886718</c:v>
                </c:pt>
                <c:pt idx="6">
                  <c:v>230.675627812723</c:v>
                </c:pt>
                <c:pt idx="7">
                  <c:v>126.942270882366</c:v>
                </c:pt>
                <c:pt idx="8">
                  <c:v>-0</c:v>
                </c:pt>
                <c:pt idx="9">
                  <c:v>-149.821633012958</c:v>
                </c:pt>
                <c:pt idx="10">
                  <c:v>-321.029193433524</c:v>
                </c:pt>
                <c:pt idx="11">
                  <c:v>-511.220328519286</c:v>
                </c:pt>
                <c:pt idx="12">
                  <c:v>-717.438048171201</c:v>
                </c:pt>
                <c:pt idx="13">
                  <c:v>-936.542478496174</c:v>
                </c:pt>
                <c:pt idx="14">
                  <c:v>-1165.52982134648</c:v>
                </c:pt>
                <c:pt idx="15">
                  <c:v>-1401.7557341599</c:v>
                </c:pt>
                <c:pt idx="16">
                  <c:v>-1643.05166018763</c:v>
                </c:pt>
              </c:numCache>
            </c:numRef>
          </c:yVal>
          <c:smooth val="1"/>
        </c:ser>
        <c:axId val="98043610"/>
        <c:axId val="46746681"/>
      </c:scatterChart>
      <c:valAx>
        <c:axId val="98043610"/>
        <c:scaling>
          <c:orientation val="minMax"/>
          <c:max val="27000"/>
          <c:min val="23000"/>
        </c:scaling>
        <c:delete val="0"/>
        <c:axPos val="b"/>
        <c:majorGridlines>
          <c:spPr>
            <a:ln w="9360">
              <a:solidFill>
                <a:srgbClr val="878787"/>
              </a:solidFill>
              <a:round/>
            </a:ln>
          </c:spPr>
        </c:majorGridlines>
        <c:title>
          <c:tx>
            <c:rich>
              <a:bodyPr rot="0"/>
              <a:lstStyle/>
              <a:p>
                <a:pPr>
                  <a:defRPr b="1" sz="1000" spc="-1" strike="noStrike">
                    <a:solidFill>
                      <a:srgbClr val="000000"/>
                    </a:solidFill>
                    <a:latin typeface="Calibri"/>
                  </a:defRPr>
                </a:pPr>
                <a:r>
                  <a:rPr b="1" sz="1000" spc="-1" strike="noStrike">
                    <a:solidFill>
                      <a:srgbClr val="000000"/>
                    </a:solidFill>
                    <a:latin typeface="Calibri"/>
                  </a:rPr>
                  <a:t>Index level (points)</a:t>
                </a:r>
              </a:p>
            </c:rich>
          </c:tx>
          <c:overlay val="0"/>
          <c:spPr>
            <a:noFill/>
            <a:ln w="0">
              <a:noFill/>
            </a:ln>
          </c:spPr>
        </c:title>
        <c:numFmt formatCode="#,##0" sourceLinked="1"/>
        <c:majorTickMark val="none"/>
        <c:minorTickMark val="none"/>
        <c:tickLblPos val="low"/>
        <c:spPr>
          <a:ln w="9360">
            <a:solidFill>
              <a:srgbClr val="878787"/>
            </a:solidFill>
            <a:round/>
          </a:ln>
        </c:spPr>
        <c:txPr>
          <a:bodyPr/>
          <a:lstStyle/>
          <a:p>
            <a:pPr>
              <a:defRPr b="0" sz="1000" spc="-1" strike="noStrike">
                <a:solidFill>
                  <a:srgbClr val="000000"/>
                </a:solidFill>
                <a:latin typeface="Calibri"/>
              </a:defRPr>
            </a:pPr>
          </a:p>
        </c:txPr>
        <c:crossAx val="46746681"/>
        <c:crosses val="autoZero"/>
        <c:crossBetween val="midCat"/>
      </c:valAx>
      <c:valAx>
        <c:axId val="46746681"/>
        <c:scaling>
          <c:orientation val="minMax"/>
        </c:scaling>
        <c:delete val="0"/>
        <c:axPos val="l"/>
        <c:majorGridlines>
          <c:spPr>
            <a:ln w="9360">
              <a:solidFill>
                <a:srgbClr val="878787"/>
              </a:solidFill>
              <a:round/>
            </a:ln>
          </c:spPr>
        </c:majorGridlines>
        <c:title>
          <c:tx>
            <c:rich>
              <a:bodyPr rot="-5400000"/>
              <a:lstStyle/>
              <a:p>
                <a:pPr>
                  <a:defRPr b="1" sz="1000" spc="-1" strike="noStrike">
                    <a:solidFill>
                      <a:srgbClr val="000000"/>
                    </a:solidFill>
                    <a:latin typeface="Calibri"/>
                  </a:defRPr>
                </a:pPr>
                <a:r>
                  <a:rPr b="1" sz="1000" spc="-1" strike="noStrike">
                    <a:solidFill>
                      <a:srgbClr val="000000"/>
                    </a:solidFill>
                    <a:latin typeface="Calibri"/>
                  </a:rPr>
                  <a:t>Change in value (points)</a:t>
                </a:r>
              </a:p>
            </c:rich>
          </c:tx>
          <c:overlay val="0"/>
          <c:spPr>
            <a:noFill/>
            <a:ln w="0">
              <a:noFill/>
            </a:ln>
          </c:spPr>
        </c:title>
        <c:numFmt formatCode="#,##0.0;[RED]\-#,##0.0" sourceLinked="1"/>
        <c:majorTickMark val="none"/>
        <c:minorTickMark val="none"/>
        <c:tickLblPos val="low"/>
        <c:spPr>
          <a:ln w="9360">
            <a:solidFill>
              <a:srgbClr val="878787"/>
            </a:solidFill>
            <a:round/>
          </a:ln>
        </c:spPr>
        <c:txPr>
          <a:bodyPr/>
          <a:lstStyle/>
          <a:p>
            <a:pPr>
              <a:defRPr b="0" sz="1000" spc="-1" strike="noStrike">
                <a:solidFill>
                  <a:srgbClr val="000000"/>
                </a:solidFill>
                <a:latin typeface="Calibri"/>
              </a:defRPr>
            </a:pPr>
          </a:p>
        </c:txPr>
        <c:crossAx val="98043610"/>
        <c:crosses val="autoZero"/>
        <c:crossBetween val="midCat"/>
      </c:valAx>
      <c:spPr>
        <a:noFill/>
        <a:ln w="0">
          <a:noFill/>
        </a:ln>
      </c:spPr>
    </c:plotArea>
    <c:legend>
      <c:legendPos val="b"/>
      <c:overlay val="0"/>
      <c:spPr>
        <a:noFill/>
        <a:ln w="0">
          <a:noFill/>
        </a:ln>
      </c:spPr>
      <c:txPr>
        <a:bodyPr/>
        <a:lstStyle/>
        <a:p>
          <a:pPr>
            <a:defRPr b="0" sz="1000" spc="-1" strike="noStrike">
              <a:solidFill>
                <a:srgbClr val="000000"/>
              </a:solidFill>
              <a:latin typeface="Calibri"/>
            </a:defRPr>
          </a:pPr>
        </a:p>
      </c:txPr>
    </c:legend>
    <c:plotVisOnly val="1"/>
    <c:dispBlanksAs val="gap"/>
  </c:chart>
  <c:spPr>
    <a:solidFill>
      <a:srgbClr val="ffffff"/>
    </a:solidFill>
    <a:ln w="9360">
      <a:solidFill>
        <a:srgbClr val="d9d9d9"/>
      </a:solidFill>
      <a:round/>
    </a:ln>
  </c:spPr>
</c:chartSpace>
</file>

<file path=xl/charts/chart4.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1" sz="1800" spc="-1" strike="noStrike">
                <a:solidFill>
                  <a:srgbClr val="000000"/>
                </a:solidFill>
                <a:latin typeface="Calibri"/>
              </a:defRPr>
            </a:pPr>
            <a:r>
              <a:rPr b="1" sz="1800" spc="-1" strike="noStrike">
                <a:solidFill>
                  <a:srgbClr val="000000"/>
                </a:solidFill>
                <a:latin typeface="Calibri"/>
              </a:rPr>
              <a:t>Gamma part only: smile (+) and frown (-)</a:t>
            </a:r>
          </a:p>
        </c:rich>
      </c:tx>
      <c:overlay val="0"/>
      <c:spPr>
        <a:noFill/>
        <a:ln w="0">
          <a:noFill/>
        </a:ln>
      </c:spPr>
    </c:title>
    <c:autoTitleDeleted val="0"/>
    <c:plotArea>
      <c:scatterChart>
        <c:scatterStyle val="line"/>
        <c:varyColors val="0"/>
        <c:ser>
          <c:idx val="0"/>
          <c:order val="0"/>
          <c:tx>
            <c:strRef>
              <c:f>4_Smile_vs_Frown!D9</c:f>
              <c:strCache>
                <c:ptCount val="1"/>
                <c:pt idx="0">
                  <c:v>Bought put: gamma part</c:v>
                </c:pt>
              </c:strCache>
            </c:strRef>
          </c:tx>
          <c:spPr>
            <a:solidFill>
              <a:srgbClr val="70ad47"/>
            </a:solidFill>
            <a:ln w="28080">
              <a:solidFill>
                <a:srgbClr val="70ad47"/>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xVal>
            <c:numRef>
              <c:f>4_Smile_vs_Frown!$A$10:$A$26</c:f>
              <c:numCache>
                <c:formatCode>#,##0</c:formatCode>
                <c:ptCount val="17"/>
                <c:pt idx="0">
                  <c:v>23000</c:v>
                </c:pt>
                <c:pt idx="1">
                  <c:v>23250</c:v>
                </c:pt>
                <c:pt idx="2">
                  <c:v>23500</c:v>
                </c:pt>
                <c:pt idx="3">
                  <c:v>23750</c:v>
                </c:pt>
                <c:pt idx="4">
                  <c:v>24000</c:v>
                </c:pt>
                <c:pt idx="5">
                  <c:v>24250</c:v>
                </c:pt>
                <c:pt idx="6">
                  <c:v>24500</c:v>
                </c:pt>
                <c:pt idx="7">
                  <c:v>24750</c:v>
                </c:pt>
                <c:pt idx="8">
                  <c:v>25000</c:v>
                </c:pt>
                <c:pt idx="9">
                  <c:v>25250</c:v>
                </c:pt>
                <c:pt idx="10">
                  <c:v>25500</c:v>
                </c:pt>
                <c:pt idx="11">
                  <c:v>25750</c:v>
                </c:pt>
                <c:pt idx="12">
                  <c:v>26000</c:v>
                </c:pt>
                <c:pt idx="13">
                  <c:v>26250</c:v>
                </c:pt>
                <c:pt idx="14">
                  <c:v>26500</c:v>
                </c:pt>
                <c:pt idx="15">
                  <c:v>26750</c:v>
                </c:pt>
                <c:pt idx="16">
                  <c:v>27000</c:v>
                </c:pt>
              </c:numCache>
            </c:numRef>
          </c:xVal>
          <c:yVal>
            <c:numRef>
              <c:f>4_Smile_vs_Frown!$D$10:$D$26</c:f>
              <c:numCache>
                <c:formatCode>#,##0.0;[RED]\-#,##0.0</c:formatCode>
                <c:ptCount val="17"/>
                <c:pt idx="0">
                  <c:v>735.30531832583</c:v>
                </c:pt>
                <c:pt idx="1">
                  <c:v>562.968134343214</c:v>
                </c:pt>
                <c:pt idx="2">
                  <c:v>413.609241558279</c:v>
                </c:pt>
                <c:pt idx="3">
                  <c:v>287.228639971027</c:v>
                </c:pt>
                <c:pt idx="4">
                  <c:v>183.826329581458</c:v>
                </c:pt>
                <c:pt idx="5">
                  <c:v>103.40231038957</c:v>
                </c:pt>
                <c:pt idx="6">
                  <c:v>45.9565823953644</c:v>
                </c:pt>
                <c:pt idx="7">
                  <c:v>11.4891455988411</c:v>
                </c:pt>
                <c:pt idx="8">
                  <c:v>0</c:v>
                </c:pt>
                <c:pt idx="9">
                  <c:v>11.4891455988411</c:v>
                </c:pt>
                <c:pt idx="10">
                  <c:v>45.9565823953644</c:v>
                </c:pt>
                <c:pt idx="11">
                  <c:v>103.40231038957</c:v>
                </c:pt>
                <c:pt idx="12">
                  <c:v>183.826329581458</c:v>
                </c:pt>
                <c:pt idx="13">
                  <c:v>287.228639971027</c:v>
                </c:pt>
                <c:pt idx="14">
                  <c:v>413.609241558279</c:v>
                </c:pt>
                <c:pt idx="15">
                  <c:v>562.968134343214</c:v>
                </c:pt>
                <c:pt idx="16">
                  <c:v>735.30531832583</c:v>
                </c:pt>
              </c:numCache>
            </c:numRef>
          </c:yVal>
          <c:smooth val="1"/>
        </c:ser>
        <c:ser>
          <c:idx val="1"/>
          <c:order val="1"/>
          <c:tx>
            <c:strRef>
              <c:f>4_Smile_vs_Frown!E9</c:f>
              <c:strCache>
                <c:ptCount val="1"/>
                <c:pt idx="0">
                  <c:v>Sold call: gamma part</c:v>
                </c:pt>
              </c:strCache>
            </c:strRef>
          </c:tx>
          <c:spPr>
            <a:solidFill>
              <a:srgbClr val="c00000"/>
            </a:solidFill>
            <a:ln w="28080">
              <a:solidFill>
                <a:srgbClr val="c00000"/>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xVal>
            <c:numRef>
              <c:f>4_Smile_vs_Frown!$A$10:$A$26</c:f>
              <c:numCache>
                <c:formatCode>#,##0</c:formatCode>
                <c:ptCount val="17"/>
                <c:pt idx="0">
                  <c:v>23000</c:v>
                </c:pt>
                <c:pt idx="1">
                  <c:v>23250</c:v>
                </c:pt>
                <c:pt idx="2">
                  <c:v>23500</c:v>
                </c:pt>
                <c:pt idx="3">
                  <c:v>23750</c:v>
                </c:pt>
                <c:pt idx="4">
                  <c:v>24000</c:v>
                </c:pt>
                <c:pt idx="5">
                  <c:v>24250</c:v>
                </c:pt>
                <c:pt idx="6">
                  <c:v>24500</c:v>
                </c:pt>
                <c:pt idx="7">
                  <c:v>24750</c:v>
                </c:pt>
                <c:pt idx="8">
                  <c:v>25000</c:v>
                </c:pt>
                <c:pt idx="9">
                  <c:v>25250</c:v>
                </c:pt>
                <c:pt idx="10">
                  <c:v>25500</c:v>
                </c:pt>
                <c:pt idx="11">
                  <c:v>25750</c:v>
                </c:pt>
                <c:pt idx="12">
                  <c:v>26000</c:v>
                </c:pt>
                <c:pt idx="13">
                  <c:v>26250</c:v>
                </c:pt>
                <c:pt idx="14">
                  <c:v>26500</c:v>
                </c:pt>
                <c:pt idx="15">
                  <c:v>26750</c:v>
                </c:pt>
                <c:pt idx="16">
                  <c:v>27000</c:v>
                </c:pt>
              </c:numCache>
            </c:numRef>
          </c:xVal>
          <c:yVal>
            <c:numRef>
              <c:f>4_Smile_vs_Frown!$E$10:$E$26</c:f>
              <c:numCache>
                <c:formatCode>#,##0.0;[RED]\-#,##0.0</c:formatCode>
                <c:ptCount val="17"/>
                <c:pt idx="0">
                  <c:v>-735.30531832583</c:v>
                </c:pt>
                <c:pt idx="1">
                  <c:v>-562.968134343214</c:v>
                </c:pt>
                <c:pt idx="2">
                  <c:v>-413.609241558279</c:v>
                </c:pt>
                <c:pt idx="3">
                  <c:v>-287.228639971027</c:v>
                </c:pt>
                <c:pt idx="4">
                  <c:v>-183.826329581458</c:v>
                </c:pt>
                <c:pt idx="5">
                  <c:v>-103.40231038957</c:v>
                </c:pt>
                <c:pt idx="6">
                  <c:v>-45.9565823953644</c:v>
                </c:pt>
                <c:pt idx="7">
                  <c:v>-11.4891455988411</c:v>
                </c:pt>
                <c:pt idx="8">
                  <c:v>-0</c:v>
                </c:pt>
                <c:pt idx="9">
                  <c:v>-11.4891455988411</c:v>
                </c:pt>
                <c:pt idx="10">
                  <c:v>-45.9565823953644</c:v>
                </c:pt>
                <c:pt idx="11">
                  <c:v>-103.40231038957</c:v>
                </c:pt>
                <c:pt idx="12">
                  <c:v>-183.826329581458</c:v>
                </c:pt>
                <c:pt idx="13">
                  <c:v>-287.228639971027</c:v>
                </c:pt>
                <c:pt idx="14">
                  <c:v>-413.609241558279</c:v>
                </c:pt>
                <c:pt idx="15">
                  <c:v>-562.968134343214</c:v>
                </c:pt>
                <c:pt idx="16">
                  <c:v>-735.30531832583</c:v>
                </c:pt>
              </c:numCache>
            </c:numRef>
          </c:yVal>
          <c:smooth val="1"/>
        </c:ser>
        <c:axId val="7466542"/>
        <c:axId val="67413894"/>
      </c:scatterChart>
      <c:valAx>
        <c:axId val="7466542"/>
        <c:scaling>
          <c:orientation val="minMax"/>
          <c:max val="27000"/>
          <c:min val="23000"/>
        </c:scaling>
        <c:delete val="0"/>
        <c:axPos val="b"/>
        <c:majorGridlines>
          <c:spPr>
            <a:ln w="9360">
              <a:solidFill>
                <a:srgbClr val="878787"/>
              </a:solidFill>
              <a:round/>
            </a:ln>
          </c:spPr>
        </c:majorGridlines>
        <c:title>
          <c:tx>
            <c:rich>
              <a:bodyPr rot="0"/>
              <a:lstStyle/>
              <a:p>
                <a:pPr>
                  <a:defRPr b="1" sz="1000" spc="-1" strike="noStrike">
                    <a:solidFill>
                      <a:srgbClr val="000000"/>
                    </a:solidFill>
                    <a:latin typeface="Calibri"/>
                  </a:defRPr>
                </a:pPr>
                <a:r>
                  <a:rPr b="1" sz="1000" spc="-1" strike="noStrike">
                    <a:solidFill>
                      <a:srgbClr val="000000"/>
                    </a:solidFill>
                    <a:latin typeface="Calibri"/>
                  </a:rPr>
                  <a:t>Index level (points)</a:t>
                </a:r>
              </a:p>
            </c:rich>
          </c:tx>
          <c:overlay val="0"/>
          <c:spPr>
            <a:noFill/>
            <a:ln w="0">
              <a:noFill/>
            </a:ln>
          </c:spPr>
        </c:title>
        <c:numFmt formatCode="#,##0" sourceLinked="1"/>
        <c:majorTickMark val="none"/>
        <c:minorTickMark val="none"/>
        <c:tickLblPos val="low"/>
        <c:spPr>
          <a:ln w="9360">
            <a:solidFill>
              <a:srgbClr val="878787"/>
            </a:solidFill>
            <a:round/>
          </a:ln>
        </c:spPr>
        <c:txPr>
          <a:bodyPr/>
          <a:lstStyle/>
          <a:p>
            <a:pPr>
              <a:defRPr b="0" sz="1000" spc="-1" strike="noStrike">
                <a:solidFill>
                  <a:srgbClr val="000000"/>
                </a:solidFill>
                <a:latin typeface="Calibri"/>
              </a:defRPr>
            </a:pPr>
          </a:p>
        </c:txPr>
        <c:crossAx val="67413894"/>
        <c:crosses val="autoZero"/>
        <c:crossBetween val="midCat"/>
      </c:valAx>
      <c:valAx>
        <c:axId val="67413894"/>
        <c:scaling>
          <c:orientation val="minMax"/>
        </c:scaling>
        <c:delete val="0"/>
        <c:axPos val="l"/>
        <c:majorGridlines>
          <c:spPr>
            <a:ln w="9360">
              <a:solidFill>
                <a:srgbClr val="878787"/>
              </a:solidFill>
              <a:round/>
            </a:ln>
          </c:spPr>
        </c:majorGridlines>
        <c:title>
          <c:tx>
            <c:rich>
              <a:bodyPr rot="-5400000"/>
              <a:lstStyle/>
              <a:p>
                <a:pPr>
                  <a:defRPr b="1" sz="1000" spc="-1" strike="noStrike">
                    <a:solidFill>
                      <a:srgbClr val="000000"/>
                    </a:solidFill>
                    <a:latin typeface="Calibri"/>
                  </a:defRPr>
                </a:pPr>
                <a:r>
                  <a:rPr b="1" sz="1000" spc="-1" strike="noStrike">
                    <a:solidFill>
                      <a:srgbClr val="000000"/>
                    </a:solidFill>
                    <a:latin typeface="Calibri"/>
                  </a:rPr>
                  <a:t>Change in value (points)</a:t>
                </a:r>
              </a:p>
            </c:rich>
          </c:tx>
          <c:overlay val="0"/>
          <c:spPr>
            <a:noFill/>
            <a:ln w="0">
              <a:noFill/>
            </a:ln>
          </c:spPr>
        </c:title>
        <c:numFmt formatCode="#,##0.0;[RED]\-#,##0.0" sourceLinked="1"/>
        <c:majorTickMark val="none"/>
        <c:minorTickMark val="none"/>
        <c:tickLblPos val="low"/>
        <c:spPr>
          <a:ln w="9360">
            <a:solidFill>
              <a:srgbClr val="878787"/>
            </a:solidFill>
            <a:round/>
          </a:ln>
        </c:spPr>
        <c:txPr>
          <a:bodyPr/>
          <a:lstStyle/>
          <a:p>
            <a:pPr>
              <a:defRPr b="0" sz="1000" spc="-1" strike="noStrike">
                <a:solidFill>
                  <a:srgbClr val="000000"/>
                </a:solidFill>
                <a:latin typeface="Calibri"/>
              </a:defRPr>
            </a:pPr>
          </a:p>
        </c:txPr>
        <c:crossAx val="7466542"/>
        <c:crosses val="autoZero"/>
        <c:crossBetween val="midCat"/>
      </c:valAx>
      <c:spPr>
        <a:noFill/>
        <a:ln w="0">
          <a:noFill/>
        </a:ln>
      </c:spPr>
    </c:plotArea>
    <c:legend>
      <c:legendPos val="b"/>
      <c:overlay val="0"/>
      <c:spPr>
        <a:noFill/>
        <a:ln w="0">
          <a:noFill/>
        </a:ln>
      </c:spPr>
      <c:txPr>
        <a:bodyPr/>
        <a:lstStyle/>
        <a:p>
          <a:pPr>
            <a:defRPr b="0" sz="1000" spc="-1" strike="noStrike">
              <a:solidFill>
                <a:srgbClr val="000000"/>
              </a:solidFill>
              <a:latin typeface="Calibri"/>
            </a:defRPr>
          </a:pPr>
        </a:p>
      </c:txPr>
    </c:legend>
    <c:plotVisOnly val="1"/>
    <c:dispBlanksAs val="gap"/>
  </c:chart>
  <c:spPr>
    <a:solidFill>
      <a:srgbClr val="ffffff"/>
    </a:solidFill>
    <a:ln w="9360">
      <a:solidFill>
        <a:srgbClr val="d9d9d9"/>
      </a:solidFill>
      <a:round/>
    </a:ln>
  </c:spPr>
</c:chartSpace>
</file>

<file path=xl/charts/chart5.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1" sz="1800" spc="-1" strike="noStrike">
                <a:solidFill>
                  <a:srgbClr val="000000"/>
                </a:solidFill>
                <a:latin typeface="Calibri"/>
              </a:defRPr>
            </a:pPr>
            <a:r>
              <a:rPr b="1" sz="1800" spc="-1" strike="noStrike">
                <a:solidFill>
                  <a:srgbClr val="000000"/>
                </a:solidFill>
                <a:latin typeface="Calibri"/>
              </a:rPr>
              <a:t>Short straddle: net P&amp;L of one day vs size of the move</a:t>
            </a:r>
          </a:p>
        </c:rich>
      </c:tx>
      <c:overlay val="0"/>
      <c:spPr>
        <a:noFill/>
        <a:ln w="0">
          <a:noFill/>
        </a:ln>
      </c:spPr>
    </c:title>
    <c:autoTitleDeleted val="0"/>
    <c:plotArea>
      <c:scatterChart>
        <c:scatterStyle val="line"/>
        <c:varyColors val="0"/>
        <c:ser>
          <c:idx val="0"/>
          <c:order val="0"/>
          <c:tx>
            <c:strRef>
              <c:f>5_Gamma_vs_Theta!E17</c:f>
              <c:strCache>
                <c:ptCount val="1"/>
                <c:pt idx="0">
                  <c:v>Net P&amp;L of the day</c:v>
                </c:pt>
              </c:strCache>
            </c:strRef>
          </c:tx>
          <c:spPr>
            <a:solidFill>
              <a:srgbClr val="1f4e79"/>
            </a:solidFill>
            <a:ln w="28080">
              <a:solidFill>
                <a:srgbClr val="1f4e79"/>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xVal>
            <c:numRef>
              <c:f>5_Gamma_vs_Theta!$A$18:$A$28</c:f>
              <c:numCache>
                <c:formatCode>0.00%</c:formatCode>
                <c:ptCount val="11"/>
                <c:pt idx="0">
                  <c:v>0</c:v>
                </c:pt>
                <c:pt idx="1">
                  <c:v>0.0025</c:v>
                </c:pt>
                <c:pt idx="2">
                  <c:v>0.005</c:v>
                </c:pt>
                <c:pt idx="3">
                  <c:v>0.0075</c:v>
                </c:pt>
                <c:pt idx="4">
                  <c:v>0.01</c:v>
                </c:pt>
                <c:pt idx="5">
                  <c:v>0.0125</c:v>
                </c:pt>
                <c:pt idx="6">
                  <c:v>0.015</c:v>
                </c:pt>
                <c:pt idx="7">
                  <c:v>0.0175</c:v>
                </c:pt>
                <c:pt idx="8">
                  <c:v>0.02</c:v>
                </c:pt>
                <c:pt idx="9">
                  <c:v>0.0225</c:v>
                </c:pt>
                <c:pt idx="10">
                  <c:v>0.025</c:v>
                </c:pt>
              </c:numCache>
            </c:numRef>
          </c:xVal>
          <c:yVal>
            <c:numRef>
              <c:f>5_Gamma_vs_Theta!$E$18:$E$28</c:f>
              <c:numCache>
                <c:formatCode>#,##0.0;[RED]\-#,##0.0</c:formatCode>
                <c:ptCount val="11"/>
                <c:pt idx="0">
                  <c:v>14.468275233335</c:v>
                </c:pt>
                <c:pt idx="1">
                  <c:v>13.0321320334799</c:v>
                </c:pt>
                <c:pt idx="2">
                  <c:v>8.72370243391446</c:v>
                </c:pt>
                <c:pt idx="3">
                  <c:v>1.54298643463877</c:v>
                </c:pt>
                <c:pt idx="4">
                  <c:v>-8.51001596434718</c:v>
                </c:pt>
                <c:pt idx="5">
                  <c:v>-21.4353047630434</c:v>
                </c:pt>
                <c:pt idx="6">
                  <c:v>-37.2328799614499</c:v>
                </c:pt>
                <c:pt idx="7">
                  <c:v>-55.9027415595667</c:v>
                </c:pt>
                <c:pt idx="8">
                  <c:v>-77.4448895573938</c:v>
                </c:pt>
                <c:pt idx="9">
                  <c:v>-101.859323954931</c:v>
                </c:pt>
                <c:pt idx="10">
                  <c:v>-129.146044752179</c:v>
                </c:pt>
              </c:numCache>
            </c:numRef>
          </c:yVal>
          <c:smooth val="1"/>
        </c:ser>
        <c:ser>
          <c:idx val="1"/>
          <c:order val="1"/>
          <c:tx>
            <c:strRef>
              <c:f>5_Gamma_vs_Theta!D17</c:f>
              <c:strCache>
                <c:ptCount val="1"/>
                <c:pt idx="0">
                  <c:v>Theta rent</c:v>
                </c:pt>
              </c:strCache>
            </c:strRef>
          </c:tx>
          <c:spPr>
            <a:solidFill>
              <a:srgbClr val="70ad47"/>
            </a:solidFill>
            <a:ln w="28080">
              <a:solidFill>
                <a:srgbClr val="70ad47"/>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xVal>
            <c:numRef>
              <c:f>5_Gamma_vs_Theta!$A$18:$A$28</c:f>
              <c:numCache>
                <c:formatCode>0.00%</c:formatCode>
                <c:ptCount val="11"/>
                <c:pt idx="0">
                  <c:v>0</c:v>
                </c:pt>
                <c:pt idx="1">
                  <c:v>0.0025</c:v>
                </c:pt>
                <c:pt idx="2">
                  <c:v>0.005</c:v>
                </c:pt>
                <c:pt idx="3">
                  <c:v>0.0075</c:v>
                </c:pt>
                <c:pt idx="4">
                  <c:v>0.01</c:v>
                </c:pt>
                <c:pt idx="5">
                  <c:v>0.0125</c:v>
                </c:pt>
                <c:pt idx="6">
                  <c:v>0.015</c:v>
                </c:pt>
                <c:pt idx="7">
                  <c:v>0.0175</c:v>
                </c:pt>
                <c:pt idx="8">
                  <c:v>0.02</c:v>
                </c:pt>
                <c:pt idx="9">
                  <c:v>0.0225</c:v>
                </c:pt>
                <c:pt idx="10">
                  <c:v>0.025</c:v>
                </c:pt>
              </c:numCache>
            </c:numRef>
          </c:xVal>
          <c:yVal>
            <c:numRef>
              <c:f>5_Gamma_vs_Theta!$D$18:$D$28</c:f>
              <c:numCache>
                <c:formatCode>#,##0.0;[RED]\-#,##0.0</c:formatCode>
                <c:ptCount val="11"/>
                <c:pt idx="0">
                  <c:v>14.468275233335</c:v>
                </c:pt>
                <c:pt idx="1">
                  <c:v>14.468275233335</c:v>
                </c:pt>
                <c:pt idx="2">
                  <c:v>14.468275233335</c:v>
                </c:pt>
                <c:pt idx="3">
                  <c:v>14.468275233335</c:v>
                </c:pt>
                <c:pt idx="4">
                  <c:v>14.468275233335</c:v>
                </c:pt>
                <c:pt idx="5">
                  <c:v>14.468275233335</c:v>
                </c:pt>
                <c:pt idx="6">
                  <c:v>14.468275233335</c:v>
                </c:pt>
                <c:pt idx="7">
                  <c:v>14.468275233335</c:v>
                </c:pt>
                <c:pt idx="8">
                  <c:v>14.468275233335</c:v>
                </c:pt>
                <c:pt idx="9">
                  <c:v>14.468275233335</c:v>
                </c:pt>
                <c:pt idx="10">
                  <c:v>14.468275233335</c:v>
                </c:pt>
              </c:numCache>
            </c:numRef>
          </c:yVal>
          <c:smooth val="1"/>
        </c:ser>
        <c:ser>
          <c:idx val="2"/>
          <c:order val="2"/>
          <c:tx>
            <c:strRef>
              <c:f>5_Gamma_vs_Theta!C17</c:f>
              <c:strCache>
                <c:ptCount val="1"/>
                <c:pt idx="0">
                  <c:v>Gamma damage</c:v>
                </c:pt>
              </c:strCache>
            </c:strRef>
          </c:tx>
          <c:spPr>
            <a:solidFill>
              <a:srgbClr val="c00000"/>
            </a:solidFill>
            <a:ln w="28080">
              <a:solidFill>
                <a:srgbClr val="c00000"/>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xVal>
            <c:numRef>
              <c:f>5_Gamma_vs_Theta!$A$18:$A$28</c:f>
              <c:numCache>
                <c:formatCode>0.00%</c:formatCode>
                <c:ptCount val="11"/>
                <c:pt idx="0">
                  <c:v>0</c:v>
                </c:pt>
                <c:pt idx="1">
                  <c:v>0.0025</c:v>
                </c:pt>
                <c:pt idx="2">
                  <c:v>0.005</c:v>
                </c:pt>
                <c:pt idx="3">
                  <c:v>0.0075</c:v>
                </c:pt>
                <c:pt idx="4">
                  <c:v>0.01</c:v>
                </c:pt>
                <c:pt idx="5">
                  <c:v>0.0125</c:v>
                </c:pt>
                <c:pt idx="6">
                  <c:v>0.015</c:v>
                </c:pt>
                <c:pt idx="7">
                  <c:v>0.0175</c:v>
                </c:pt>
                <c:pt idx="8">
                  <c:v>0.02</c:v>
                </c:pt>
                <c:pt idx="9">
                  <c:v>0.0225</c:v>
                </c:pt>
                <c:pt idx="10">
                  <c:v>0.025</c:v>
                </c:pt>
              </c:numCache>
            </c:numRef>
          </c:xVal>
          <c:yVal>
            <c:numRef>
              <c:f>5_Gamma_vs_Theta!$C$18:$C$28</c:f>
              <c:numCache>
                <c:formatCode>#,##0.0;[RED]\-#,##0.0</c:formatCode>
                <c:ptCount val="11"/>
                <c:pt idx="0">
                  <c:v>-0</c:v>
                </c:pt>
                <c:pt idx="1">
                  <c:v>-1.43614319985514</c:v>
                </c:pt>
                <c:pt idx="2">
                  <c:v>-5.74457279942055</c:v>
                </c:pt>
                <c:pt idx="3">
                  <c:v>-12.9252887986962</c:v>
                </c:pt>
                <c:pt idx="4">
                  <c:v>-22.9782911976822</c:v>
                </c:pt>
                <c:pt idx="5">
                  <c:v>-35.9035799963784</c:v>
                </c:pt>
                <c:pt idx="6">
                  <c:v>-51.7011551947849</c:v>
                </c:pt>
                <c:pt idx="7">
                  <c:v>-70.3710167929017</c:v>
                </c:pt>
                <c:pt idx="8">
                  <c:v>-91.9131647907288</c:v>
                </c:pt>
                <c:pt idx="9">
                  <c:v>-116.327599188266</c:v>
                </c:pt>
                <c:pt idx="10">
                  <c:v>-143.614319985514</c:v>
                </c:pt>
              </c:numCache>
            </c:numRef>
          </c:yVal>
          <c:smooth val="1"/>
        </c:ser>
        <c:axId val="99261294"/>
        <c:axId val="48107837"/>
      </c:scatterChart>
      <c:valAx>
        <c:axId val="99261294"/>
        <c:scaling>
          <c:orientation val="minMax"/>
        </c:scaling>
        <c:delete val="0"/>
        <c:axPos val="b"/>
        <c:majorGridlines>
          <c:spPr>
            <a:ln w="9360">
              <a:solidFill>
                <a:srgbClr val="878787"/>
              </a:solidFill>
              <a:round/>
            </a:ln>
          </c:spPr>
        </c:majorGridlines>
        <c:title>
          <c:tx>
            <c:rich>
              <a:bodyPr rot="0"/>
              <a:lstStyle/>
              <a:p>
                <a:pPr>
                  <a:defRPr b="1" sz="1000" spc="-1" strike="noStrike">
                    <a:solidFill>
                      <a:srgbClr val="000000"/>
                    </a:solidFill>
                    <a:latin typeface="Calibri"/>
                  </a:defRPr>
                </a:pPr>
                <a:r>
                  <a:rPr b="1" sz="1000" spc="-1" strike="noStrike">
                    <a:solidFill>
                      <a:srgbClr val="000000"/>
                    </a:solidFill>
                    <a:latin typeface="Calibri"/>
                  </a:rPr>
                  <a:t>Daily move of the index (%)</a:t>
                </a:r>
              </a:p>
            </c:rich>
          </c:tx>
          <c:overlay val="0"/>
          <c:spPr>
            <a:noFill/>
            <a:ln w="0">
              <a:noFill/>
            </a:ln>
          </c:spPr>
        </c:title>
        <c:numFmt formatCode="0.0%" sourceLinked="0"/>
        <c:majorTickMark val="none"/>
        <c:minorTickMark val="none"/>
        <c:tickLblPos val="low"/>
        <c:spPr>
          <a:ln w="9360">
            <a:solidFill>
              <a:srgbClr val="878787"/>
            </a:solidFill>
            <a:round/>
          </a:ln>
        </c:spPr>
        <c:txPr>
          <a:bodyPr/>
          <a:lstStyle/>
          <a:p>
            <a:pPr>
              <a:defRPr b="0" sz="1000" spc="-1" strike="noStrike">
                <a:solidFill>
                  <a:srgbClr val="000000"/>
                </a:solidFill>
                <a:latin typeface="Calibri"/>
              </a:defRPr>
            </a:pPr>
          </a:p>
        </c:txPr>
        <c:crossAx val="48107837"/>
        <c:crosses val="autoZero"/>
        <c:crossBetween val="midCat"/>
      </c:valAx>
      <c:valAx>
        <c:axId val="48107837"/>
        <c:scaling>
          <c:orientation val="minMax"/>
        </c:scaling>
        <c:delete val="0"/>
        <c:axPos val="l"/>
        <c:majorGridlines>
          <c:spPr>
            <a:ln w="9360">
              <a:solidFill>
                <a:srgbClr val="878787"/>
              </a:solidFill>
              <a:round/>
            </a:ln>
          </c:spPr>
        </c:majorGridlines>
        <c:title>
          <c:tx>
            <c:rich>
              <a:bodyPr rot="-5400000"/>
              <a:lstStyle/>
              <a:p>
                <a:pPr>
                  <a:defRPr b="1" sz="1000" spc="-1" strike="noStrike">
                    <a:solidFill>
                      <a:srgbClr val="000000"/>
                    </a:solidFill>
                    <a:latin typeface="Calibri"/>
                  </a:defRPr>
                </a:pPr>
                <a:r>
                  <a:rPr b="1" sz="1000" spc="-1" strike="noStrike">
                    <a:solidFill>
                      <a:srgbClr val="000000"/>
                    </a:solidFill>
                    <a:latin typeface="Calibri"/>
                  </a:rPr>
                  <a:t>P&amp;L (points)</a:t>
                </a:r>
              </a:p>
            </c:rich>
          </c:tx>
          <c:overlay val="0"/>
          <c:spPr>
            <a:noFill/>
            <a:ln w="0">
              <a:noFill/>
            </a:ln>
          </c:spPr>
        </c:title>
        <c:numFmt formatCode="#,##0.0;[RED]\-#,##0.0" sourceLinked="1"/>
        <c:majorTickMark val="none"/>
        <c:minorTickMark val="none"/>
        <c:tickLblPos val="low"/>
        <c:spPr>
          <a:ln w="9360">
            <a:solidFill>
              <a:srgbClr val="878787"/>
            </a:solidFill>
            <a:round/>
          </a:ln>
        </c:spPr>
        <c:txPr>
          <a:bodyPr/>
          <a:lstStyle/>
          <a:p>
            <a:pPr>
              <a:defRPr b="0" sz="1000" spc="-1" strike="noStrike">
                <a:solidFill>
                  <a:srgbClr val="000000"/>
                </a:solidFill>
                <a:latin typeface="Calibri"/>
              </a:defRPr>
            </a:pPr>
          </a:p>
        </c:txPr>
        <c:crossAx val="99261294"/>
        <c:crosses val="autoZero"/>
        <c:crossBetween val="midCat"/>
      </c:valAx>
      <c:spPr>
        <a:noFill/>
        <a:ln w="0">
          <a:noFill/>
        </a:ln>
      </c:spPr>
    </c:plotArea>
    <c:legend>
      <c:legendPos val="b"/>
      <c:overlay val="0"/>
      <c:spPr>
        <a:noFill/>
        <a:ln w="0">
          <a:noFill/>
        </a:ln>
      </c:spPr>
      <c:txPr>
        <a:bodyPr/>
        <a:lstStyle/>
        <a:p>
          <a:pPr>
            <a:defRPr b="0" sz="1000" spc="-1" strike="noStrike">
              <a:solidFill>
                <a:srgbClr val="000000"/>
              </a:solidFill>
              <a:latin typeface="Calibri"/>
            </a:defRPr>
          </a:pPr>
        </a:p>
      </c:txPr>
    </c:legend>
    <c:plotVisOnly val="1"/>
    <c:dispBlanksAs val="gap"/>
  </c:chart>
  <c:spPr>
    <a:solidFill>
      <a:srgbClr val="ffffff"/>
    </a:solidFill>
    <a:ln w="9360">
      <a:solidFill>
        <a:srgbClr val="d9d9d9"/>
      </a:solidFill>
      <a:round/>
    </a:ln>
  </c:spPr>
</c:chartSpace>
</file>

<file path=xl/charts/chart6.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1" sz="1800" spc="-1" strike="noStrike">
                <a:solidFill>
                  <a:srgbClr val="000000"/>
                </a:solidFill>
                <a:latin typeface="Calibri"/>
              </a:defRPr>
            </a:pPr>
            <a:r>
              <a:rPr b="1" sz="1800" spc="-1" strike="noStrike">
                <a:solidFill>
                  <a:srgbClr val="000000"/>
                </a:solidFill>
                <a:latin typeface="Calibri"/>
              </a:rPr>
              <a:t>Payoff at expiry of three volatility strategies</a:t>
            </a:r>
          </a:p>
        </c:rich>
      </c:tx>
      <c:overlay val="0"/>
      <c:spPr>
        <a:noFill/>
        <a:ln w="0">
          <a:noFill/>
        </a:ln>
      </c:spPr>
    </c:title>
    <c:autoTitleDeleted val="0"/>
    <c:plotArea>
      <c:scatterChart>
        <c:scatterStyle val="line"/>
        <c:varyColors val="0"/>
        <c:ser>
          <c:idx val="0"/>
          <c:order val="0"/>
          <c:tx>
            <c:strRef>
              <c:f>6_Vol_Strategies!B22</c:f>
              <c:strCache>
                <c:ptCount val="1"/>
                <c:pt idx="0">
                  <c:v>Long straddle</c:v>
                </c:pt>
              </c:strCache>
            </c:strRef>
          </c:tx>
          <c:spPr>
            <a:solidFill>
              <a:srgbClr val="70ad47"/>
            </a:solidFill>
            <a:ln w="28080">
              <a:solidFill>
                <a:srgbClr val="70ad47"/>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xVal>
            <c:numRef>
              <c:f>6_Vol_Strategies!$A$23:$A$39</c:f>
              <c:numCache>
                <c:formatCode>#,##0</c:formatCode>
                <c:ptCount val="17"/>
                <c:pt idx="0">
                  <c:v>23000</c:v>
                </c:pt>
                <c:pt idx="1">
                  <c:v>23250</c:v>
                </c:pt>
                <c:pt idx="2">
                  <c:v>23500</c:v>
                </c:pt>
                <c:pt idx="3">
                  <c:v>23750</c:v>
                </c:pt>
                <c:pt idx="4">
                  <c:v>24000</c:v>
                </c:pt>
                <c:pt idx="5">
                  <c:v>24250</c:v>
                </c:pt>
                <c:pt idx="6">
                  <c:v>24500</c:v>
                </c:pt>
                <c:pt idx="7">
                  <c:v>24750</c:v>
                </c:pt>
                <c:pt idx="8">
                  <c:v>25000</c:v>
                </c:pt>
                <c:pt idx="9">
                  <c:v>25250</c:v>
                </c:pt>
                <c:pt idx="10">
                  <c:v>25500</c:v>
                </c:pt>
                <c:pt idx="11">
                  <c:v>25750</c:v>
                </c:pt>
                <c:pt idx="12">
                  <c:v>26000</c:v>
                </c:pt>
                <c:pt idx="13">
                  <c:v>26250</c:v>
                </c:pt>
                <c:pt idx="14">
                  <c:v>26500</c:v>
                </c:pt>
                <c:pt idx="15">
                  <c:v>26750</c:v>
                </c:pt>
                <c:pt idx="16">
                  <c:v>27000</c:v>
                </c:pt>
              </c:numCache>
            </c:numRef>
          </c:xVal>
          <c:yVal>
            <c:numRef>
              <c:f>6_Vol_Strategies!$B$23:$B$39</c:f>
              <c:numCache>
                <c:formatCode>#,##0.0;[RED]\-#,##0.0</c:formatCode>
                <c:ptCount val="17"/>
                <c:pt idx="0">
                  <c:v>1138.7578891227</c:v>
                </c:pt>
                <c:pt idx="1">
                  <c:v>888.7578891227</c:v>
                </c:pt>
                <c:pt idx="2">
                  <c:v>638.7578891227</c:v>
                </c:pt>
                <c:pt idx="3">
                  <c:v>388.7578891227</c:v>
                </c:pt>
                <c:pt idx="4">
                  <c:v>138.7578891227</c:v>
                </c:pt>
                <c:pt idx="5">
                  <c:v>-111.2421108773</c:v>
                </c:pt>
                <c:pt idx="6">
                  <c:v>-361.2421108773</c:v>
                </c:pt>
                <c:pt idx="7">
                  <c:v>-611.2421108773</c:v>
                </c:pt>
                <c:pt idx="8">
                  <c:v>-861.2421108773</c:v>
                </c:pt>
                <c:pt idx="9">
                  <c:v>-611.2421108773</c:v>
                </c:pt>
                <c:pt idx="10">
                  <c:v>-361.2421108773</c:v>
                </c:pt>
                <c:pt idx="11">
                  <c:v>-111.2421108773</c:v>
                </c:pt>
                <c:pt idx="12">
                  <c:v>138.7578891227</c:v>
                </c:pt>
                <c:pt idx="13">
                  <c:v>388.7578891227</c:v>
                </c:pt>
                <c:pt idx="14">
                  <c:v>638.7578891227</c:v>
                </c:pt>
                <c:pt idx="15">
                  <c:v>888.7578891227</c:v>
                </c:pt>
                <c:pt idx="16">
                  <c:v>1138.7578891227</c:v>
                </c:pt>
              </c:numCache>
            </c:numRef>
          </c:yVal>
          <c:smooth val="1"/>
        </c:ser>
        <c:ser>
          <c:idx val="1"/>
          <c:order val="1"/>
          <c:tx>
            <c:strRef>
              <c:f>6_Vol_Strategies!C22</c:f>
              <c:strCache>
                <c:ptCount val="1"/>
                <c:pt idx="0">
                  <c:v>Short strangle</c:v>
                </c:pt>
              </c:strCache>
            </c:strRef>
          </c:tx>
          <c:spPr>
            <a:solidFill>
              <a:srgbClr val="c00000"/>
            </a:solidFill>
            <a:ln w="28080">
              <a:solidFill>
                <a:srgbClr val="c00000"/>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xVal>
            <c:numRef>
              <c:f>6_Vol_Strategies!$A$23:$A$39</c:f>
              <c:numCache>
                <c:formatCode>#,##0</c:formatCode>
                <c:ptCount val="17"/>
                <c:pt idx="0">
                  <c:v>23000</c:v>
                </c:pt>
                <c:pt idx="1">
                  <c:v>23250</c:v>
                </c:pt>
                <c:pt idx="2">
                  <c:v>23500</c:v>
                </c:pt>
                <c:pt idx="3">
                  <c:v>23750</c:v>
                </c:pt>
                <c:pt idx="4">
                  <c:v>24000</c:v>
                </c:pt>
                <c:pt idx="5">
                  <c:v>24250</c:v>
                </c:pt>
                <c:pt idx="6">
                  <c:v>24500</c:v>
                </c:pt>
                <c:pt idx="7">
                  <c:v>24750</c:v>
                </c:pt>
                <c:pt idx="8">
                  <c:v>25000</c:v>
                </c:pt>
                <c:pt idx="9">
                  <c:v>25250</c:v>
                </c:pt>
                <c:pt idx="10">
                  <c:v>25500</c:v>
                </c:pt>
                <c:pt idx="11">
                  <c:v>25750</c:v>
                </c:pt>
                <c:pt idx="12">
                  <c:v>26000</c:v>
                </c:pt>
                <c:pt idx="13">
                  <c:v>26250</c:v>
                </c:pt>
                <c:pt idx="14">
                  <c:v>26500</c:v>
                </c:pt>
                <c:pt idx="15">
                  <c:v>26750</c:v>
                </c:pt>
                <c:pt idx="16">
                  <c:v>27000</c:v>
                </c:pt>
              </c:numCache>
            </c:numRef>
          </c:xVal>
          <c:yVal>
            <c:numRef>
              <c:f>6_Vol_Strategies!$C$23:$C$39</c:f>
              <c:numCache>
                <c:formatCode>#,##0.0;[RED]\-#,##0.0</c:formatCode>
                <c:ptCount val="17"/>
                <c:pt idx="0">
                  <c:v>-1046.0059534591</c:v>
                </c:pt>
                <c:pt idx="1">
                  <c:v>-796.005953459101</c:v>
                </c:pt>
                <c:pt idx="2">
                  <c:v>-546.005953459101</c:v>
                </c:pt>
                <c:pt idx="3">
                  <c:v>-296.005953459101</c:v>
                </c:pt>
                <c:pt idx="4">
                  <c:v>-46.005953459101</c:v>
                </c:pt>
                <c:pt idx="5">
                  <c:v>203.994046540899</c:v>
                </c:pt>
                <c:pt idx="6">
                  <c:v>453.994046540899</c:v>
                </c:pt>
                <c:pt idx="7">
                  <c:v>453.994046540899</c:v>
                </c:pt>
                <c:pt idx="8">
                  <c:v>453.994046540899</c:v>
                </c:pt>
                <c:pt idx="9">
                  <c:v>453.994046540899</c:v>
                </c:pt>
                <c:pt idx="10">
                  <c:v>453.994046540899</c:v>
                </c:pt>
                <c:pt idx="11">
                  <c:v>203.994046540899</c:v>
                </c:pt>
                <c:pt idx="12">
                  <c:v>-46.005953459101</c:v>
                </c:pt>
                <c:pt idx="13">
                  <c:v>-296.005953459101</c:v>
                </c:pt>
                <c:pt idx="14">
                  <c:v>-546.005953459101</c:v>
                </c:pt>
                <c:pt idx="15">
                  <c:v>-796.005953459101</c:v>
                </c:pt>
                <c:pt idx="16">
                  <c:v>-1046.0059534591</c:v>
                </c:pt>
              </c:numCache>
            </c:numRef>
          </c:yVal>
          <c:smooth val="1"/>
        </c:ser>
        <c:ser>
          <c:idx val="2"/>
          <c:order val="2"/>
          <c:tx>
            <c:strRef>
              <c:f>6_Vol_Strategies!D22</c:f>
              <c:strCache>
                <c:ptCount val="1"/>
                <c:pt idx="0">
                  <c:v>Iron condor</c:v>
                </c:pt>
              </c:strCache>
            </c:strRef>
          </c:tx>
          <c:spPr>
            <a:solidFill>
              <a:srgbClr val="1f4e79"/>
            </a:solidFill>
            <a:ln w="28080">
              <a:solidFill>
                <a:srgbClr val="1f4e79"/>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xVal>
            <c:numRef>
              <c:f>6_Vol_Strategies!$A$23:$A$39</c:f>
              <c:numCache>
                <c:formatCode>#,##0</c:formatCode>
                <c:ptCount val="17"/>
                <c:pt idx="0">
                  <c:v>23000</c:v>
                </c:pt>
                <c:pt idx="1">
                  <c:v>23250</c:v>
                </c:pt>
                <c:pt idx="2">
                  <c:v>23500</c:v>
                </c:pt>
                <c:pt idx="3">
                  <c:v>23750</c:v>
                </c:pt>
                <c:pt idx="4">
                  <c:v>24000</c:v>
                </c:pt>
                <c:pt idx="5">
                  <c:v>24250</c:v>
                </c:pt>
                <c:pt idx="6">
                  <c:v>24500</c:v>
                </c:pt>
                <c:pt idx="7">
                  <c:v>24750</c:v>
                </c:pt>
                <c:pt idx="8">
                  <c:v>25000</c:v>
                </c:pt>
                <c:pt idx="9">
                  <c:v>25250</c:v>
                </c:pt>
                <c:pt idx="10">
                  <c:v>25500</c:v>
                </c:pt>
                <c:pt idx="11">
                  <c:v>25750</c:v>
                </c:pt>
                <c:pt idx="12">
                  <c:v>26000</c:v>
                </c:pt>
                <c:pt idx="13">
                  <c:v>26250</c:v>
                </c:pt>
                <c:pt idx="14">
                  <c:v>26500</c:v>
                </c:pt>
                <c:pt idx="15">
                  <c:v>26750</c:v>
                </c:pt>
                <c:pt idx="16">
                  <c:v>27000</c:v>
                </c:pt>
              </c:numCache>
            </c:numRef>
          </c:xVal>
          <c:yVal>
            <c:numRef>
              <c:f>6_Vol_Strategies!$D$23:$D$39</c:f>
              <c:numCache>
                <c:formatCode>#,##0.0;[RED]\-#,##0.0</c:formatCode>
                <c:ptCount val="17"/>
                <c:pt idx="0">
                  <c:v>-255.453198876717</c:v>
                </c:pt>
                <c:pt idx="1">
                  <c:v>-255.453198876717</c:v>
                </c:pt>
                <c:pt idx="2">
                  <c:v>-255.453198876717</c:v>
                </c:pt>
                <c:pt idx="3">
                  <c:v>-255.453198876717</c:v>
                </c:pt>
                <c:pt idx="4">
                  <c:v>-255.453198876717</c:v>
                </c:pt>
                <c:pt idx="5">
                  <c:v>-5.45319887671712</c:v>
                </c:pt>
                <c:pt idx="6">
                  <c:v>244.546801123283</c:v>
                </c:pt>
                <c:pt idx="7">
                  <c:v>244.546801123283</c:v>
                </c:pt>
                <c:pt idx="8">
                  <c:v>244.546801123283</c:v>
                </c:pt>
                <c:pt idx="9">
                  <c:v>244.546801123283</c:v>
                </c:pt>
                <c:pt idx="10">
                  <c:v>244.546801123283</c:v>
                </c:pt>
                <c:pt idx="11">
                  <c:v>-5.45319887671712</c:v>
                </c:pt>
                <c:pt idx="12">
                  <c:v>-255.453198876717</c:v>
                </c:pt>
                <c:pt idx="13">
                  <c:v>-255.453198876717</c:v>
                </c:pt>
                <c:pt idx="14">
                  <c:v>-255.453198876717</c:v>
                </c:pt>
                <c:pt idx="15">
                  <c:v>-255.453198876717</c:v>
                </c:pt>
                <c:pt idx="16">
                  <c:v>-255.453198876717</c:v>
                </c:pt>
              </c:numCache>
            </c:numRef>
          </c:yVal>
          <c:smooth val="1"/>
        </c:ser>
        <c:axId val="82278612"/>
        <c:axId val="84197715"/>
      </c:scatterChart>
      <c:valAx>
        <c:axId val="82278612"/>
        <c:scaling>
          <c:orientation val="minMax"/>
          <c:max val="27000"/>
          <c:min val="23000"/>
        </c:scaling>
        <c:delete val="0"/>
        <c:axPos val="b"/>
        <c:majorGridlines>
          <c:spPr>
            <a:ln w="9360">
              <a:solidFill>
                <a:srgbClr val="878787"/>
              </a:solidFill>
              <a:round/>
            </a:ln>
          </c:spPr>
        </c:majorGridlines>
        <c:title>
          <c:tx>
            <c:rich>
              <a:bodyPr rot="0"/>
              <a:lstStyle/>
              <a:p>
                <a:pPr>
                  <a:defRPr b="1" sz="1000" spc="-1" strike="noStrike">
                    <a:solidFill>
                      <a:srgbClr val="000000"/>
                    </a:solidFill>
                    <a:latin typeface="Calibri"/>
                  </a:defRPr>
                </a:pPr>
                <a:r>
                  <a:rPr b="1" sz="1000" spc="-1" strike="noStrike">
                    <a:solidFill>
                      <a:srgbClr val="000000"/>
                    </a:solidFill>
                    <a:latin typeface="Calibri"/>
                  </a:rPr>
                  <a:t>Index at expiry (points)</a:t>
                </a:r>
              </a:p>
            </c:rich>
          </c:tx>
          <c:overlay val="0"/>
          <c:spPr>
            <a:noFill/>
            <a:ln w="0">
              <a:noFill/>
            </a:ln>
          </c:spPr>
        </c:title>
        <c:numFmt formatCode="#,##0" sourceLinked="1"/>
        <c:majorTickMark val="none"/>
        <c:minorTickMark val="none"/>
        <c:tickLblPos val="low"/>
        <c:spPr>
          <a:ln w="9360">
            <a:solidFill>
              <a:srgbClr val="878787"/>
            </a:solidFill>
            <a:round/>
          </a:ln>
        </c:spPr>
        <c:txPr>
          <a:bodyPr/>
          <a:lstStyle/>
          <a:p>
            <a:pPr>
              <a:defRPr b="0" sz="1000" spc="-1" strike="noStrike">
                <a:solidFill>
                  <a:srgbClr val="000000"/>
                </a:solidFill>
                <a:latin typeface="Calibri"/>
              </a:defRPr>
            </a:pPr>
          </a:p>
        </c:txPr>
        <c:crossAx val="84197715"/>
        <c:crosses val="autoZero"/>
        <c:crossBetween val="midCat"/>
      </c:valAx>
      <c:valAx>
        <c:axId val="84197715"/>
        <c:scaling>
          <c:orientation val="minMax"/>
        </c:scaling>
        <c:delete val="0"/>
        <c:axPos val="l"/>
        <c:majorGridlines>
          <c:spPr>
            <a:ln w="9360">
              <a:solidFill>
                <a:srgbClr val="878787"/>
              </a:solidFill>
              <a:round/>
            </a:ln>
          </c:spPr>
        </c:majorGridlines>
        <c:title>
          <c:tx>
            <c:rich>
              <a:bodyPr rot="-5400000"/>
              <a:lstStyle/>
              <a:p>
                <a:pPr>
                  <a:defRPr b="1" sz="1000" spc="-1" strike="noStrike">
                    <a:solidFill>
                      <a:srgbClr val="000000"/>
                    </a:solidFill>
                    <a:latin typeface="Calibri"/>
                  </a:defRPr>
                </a:pPr>
                <a:r>
                  <a:rPr b="1" sz="1000" spc="-1" strike="noStrike">
                    <a:solidFill>
                      <a:srgbClr val="000000"/>
                    </a:solidFill>
                    <a:latin typeface="Calibri"/>
                  </a:rPr>
                  <a:t>Profit or loss (points)</a:t>
                </a:r>
              </a:p>
            </c:rich>
          </c:tx>
          <c:overlay val="0"/>
          <c:spPr>
            <a:noFill/>
            <a:ln w="0">
              <a:noFill/>
            </a:ln>
          </c:spPr>
        </c:title>
        <c:numFmt formatCode="#,##0.0;[RED]\-#,##0.0" sourceLinked="1"/>
        <c:majorTickMark val="none"/>
        <c:minorTickMark val="none"/>
        <c:tickLblPos val="low"/>
        <c:spPr>
          <a:ln w="9360">
            <a:solidFill>
              <a:srgbClr val="878787"/>
            </a:solidFill>
            <a:round/>
          </a:ln>
        </c:spPr>
        <c:txPr>
          <a:bodyPr/>
          <a:lstStyle/>
          <a:p>
            <a:pPr>
              <a:defRPr b="0" sz="1000" spc="-1" strike="noStrike">
                <a:solidFill>
                  <a:srgbClr val="000000"/>
                </a:solidFill>
                <a:latin typeface="Calibri"/>
              </a:defRPr>
            </a:pPr>
          </a:p>
        </c:txPr>
        <c:crossAx val="82278612"/>
        <c:crosses val="autoZero"/>
        <c:crossBetween val="midCat"/>
      </c:valAx>
      <c:spPr>
        <a:noFill/>
        <a:ln w="0">
          <a:noFill/>
        </a:ln>
      </c:spPr>
    </c:plotArea>
    <c:legend>
      <c:legendPos val="b"/>
      <c:overlay val="0"/>
      <c:spPr>
        <a:noFill/>
        <a:ln w="0">
          <a:noFill/>
        </a:ln>
      </c:spPr>
      <c:txPr>
        <a:bodyPr/>
        <a:lstStyle/>
        <a:p>
          <a:pPr>
            <a:defRPr b="0" sz="1000" spc="-1" strike="noStrike">
              <a:solidFill>
                <a:srgbClr val="000000"/>
              </a:solidFill>
              <a:latin typeface="Calibri"/>
            </a:defRPr>
          </a:pPr>
        </a:p>
      </c:txPr>
    </c:legend>
    <c:plotVisOnly val="1"/>
    <c:dispBlanksAs val="gap"/>
  </c:chart>
  <c:spPr>
    <a:solidFill>
      <a:srgbClr val="ffffff"/>
    </a:solidFill>
    <a:ln w="9360">
      <a:solidFill>
        <a:srgbClr val="d9d9d9"/>
      </a:solidFill>
      <a:round/>
    </a:ln>
  </c:spPr>
</c:chartSpace>
</file>

<file path=xl/drawings/_rels/drawing1.xml.rels><?xml version="1.0" encoding="UTF-8"?>
<Relationships xmlns="http://schemas.openxmlformats.org/package/2006/relationships"><Relationship Id="rId1" Type="http://schemas.openxmlformats.org/officeDocument/2006/relationships/chart" Target="../charts/chart1.xml"/>
</Relationships>
</file>

<file path=xl/drawings/_rels/drawing2.xml.rels><?xml version="1.0" encoding="UTF-8"?>
<Relationships xmlns="http://schemas.openxmlformats.org/package/2006/relationships"><Relationship Id="rId1" Type="http://schemas.openxmlformats.org/officeDocument/2006/relationships/chart" Target="../charts/chart2.xml"/>
</Relationships>
</file>

<file path=xl/drawings/_rels/drawing3.xml.rels><?xml version="1.0" encoding="UTF-8"?>
<Relationships xmlns="http://schemas.openxmlformats.org/package/2006/relationships"><Relationship Id="rId1" Type="http://schemas.openxmlformats.org/officeDocument/2006/relationships/chart" Target="../charts/chart3.xml"/><Relationship Id="rId2" Type="http://schemas.openxmlformats.org/officeDocument/2006/relationships/chart" Target="../charts/chart4.xml"/>
</Relationships>
</file>

<file path=xl/drawings/_rels/drawing4.xml.rels><?xml version="1.0" encoding="UTF-8"?>
<Relationships xmlns="http://schemas.openxmlformats.org/package/2006/relationships"><Relationship Id="rId1" Type="http://schemas.openxmlformats.org/officeDocument/2006/relationships/chart" Target="../charts/chart5.xml"/>
</Relationships>
</file>

<file path=xl/drawings/_rels/drawing5.xml.rels><?xml version="1.0" encoding="UTF-8"?>
<Relationships xmlns="http://schemas.openxmlformats.org/package/2006/relationships"><Relationship Id="rId1" Type="http://schemas.openxmlformats.org/officeDocument/2006/relationships/chart" Target="../charts/chart6.xml"/>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10</xdr:col>
      <xdr:colOff>0</xdr:colOff>
      <xdr:row>2</xdr:row>
      <xdr:rowOff>101160</xdr:rowOff>
    </xdr:from>
    <xdr:to>
      <xdr:col>20</xdr:col>
      <xdr:colOff>4680</xdr:colOff>
      <xdr:row>15</xdr:row>
      <xdr:rowOff>55440</xdr:rowOff>
    </xdr:to>
    <xdr:graphicFrame>
      <xdr:nvGraphicFramePr>
        <xdr:cNvPr id="0" name="Chart 1"/>
        <xdr:cNvGraphicFramePr/>
      </xdr:nvGraphicFramePr>
      <xdr:xfrm>
        <a:off x="9915480" y="571680"/>
        <a:ext cx="6119640" cy="341964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oneCell">
    <xdr:from>
      <xdr:col>10</xdr:col>
      <xdr:colOff>0</xdr:colOff>
      <xdr:row>2</xdr:row>
      <xdr:rowOff>101160</xdr:rowOff>
    </xdr:from>
    <xdr:to>
      <xdr:col>20</xdr:col>
      <xdr:colOff>4680</xdr:colOff>
      <xdr:row>15</xdr:row>
      <xdr:rowOff>55440</xdr:rowOff>
    </xdr:to>
    <xdr:graphicFrame>
      <xdr:nvGraphicFramePr>
        <xdr:cNvPr id="1" name="Chart 1"/>
        <xdr:cNvGraphicFramePr/>
      </xdr:nvGraphicFramePr>
      <xdr:xfrm>
        <a:off x="9915480" y="571680"/>
        <a:ext cx="6119640" cy="341964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mlns:r="http://schemas.openxmlformats.org/officeDocument/2006/relationships">
  <xdr:twoCellAnchor editAs="oneCell">
    <xdr:from>
      <xdr:col>6</xdr:col>
      <xdr:colOff>0</xdr:colOff>
      <xdr:row>2</xdr:row>
      <xdr:rowOff>101160</xdr:rowOff>
    </xdr:from>
    <xdr:to>
      <xdr:col>16</xdr:col>
      <xdr:colOff>4680</xdr:colOff>
      <xdr:row>17</xdr:row>
      <xdr:rowOff>110880</xdr:rowOff>
    </xdr:to>
    <xdr:graphicFrame>
      <xdr:nvGraphicFramePr>
        <xdr:cNvPr id="2" name="Chart 1"/>
        <xdr:cNvGraphicFramePr/>
      </xdr:nvGraphicFramePr>
      <xdr:xfrm>
        <a:off x="7378200" y="571680"/>
        <a:ext cx="6119640" cy="341964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6</xdr:col>
      <xdr:colOff>0</xdr:colOff>
      <xdr:row>22</xdr:row>
      <xdr:rowOff>100800</xdr:rowOff>
    </xdr:from>
    <xdr:to>
      <xdr:col>16</xdr:col>
      <xdr:colOff>4680</xdr:colOff>
      <xdr:row>40</xdr:row>
      <xdr:rowOff>91440</xdr:rowOff>
    </xdr:to>
    <xdr:graphicFrame>
      <xdr:nvGraphicFramePr>
        <xdr:cNvPr id="3" name="Chart 2"/>
        <xdr:cNvGraphicFramePr/>
      </xdr:nvGraphicFramePr>
      <xdr:xfrm>
        <a:off x="7378200" y="4933800"/>
        <a:ext cx="6119640" cy="341964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4.xml><?xml version="1.0" encoding="utf-8"?>
<xdr:wsDr xmlns:xdr="http://schemas.openxmlformats.org/drawingml/2006/spreadsheetDrawing" xmlns:a="http://schemas.openxmlformats.org/drawingml/2006/main" xmlns:r="http://schemas.openxmlformats.org/officeDocument/2006/relationships">
  <xdr:twoCellAnchor editAs="oneCell">
    <xdr:from>
      <xdr:col>6</xdr:col>
      <xdr:colOff>0</xdr:colOff>
      <xdr:row>2</xdr:row>
      <xdr:rowOff>101160</xdr:rowOff>
    </xdr:from>
    <xdr:to>
      <xdr:col>16</xdr:col>
      <xdr:colOff>4680</xdr:colOff>
      <xdr:row>16</xdr:row>
      <xdr:rowOff>131760</xdr:rowOff>
    </xdr:to>
    <xdr:graphicFrame>
      <xdr:nvGraphicFramePr>
        <xdr:cNvPr id="4" name="Chart 1"/>
        <xdr:cNvGraphicFramePr/>
      </xdr:nvGraphicFramePr>
      <xdr:xfrm>
        <a:off x="7660080" y="571680"/>
        <a:ext cx="6119640" cy="341964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mlns:r="http://schemas.openxmlformats.org/officeDocument/2006/relationships">
  <xdr:twoCellAnchor editAs="oneCell">
    <xdr:from>
      <xdr:col>5</xdr:col>
      <xdr:colOff>0</xdr:colOff>
      <xdr:row>16</xdr:row>
      <xdr:rowOff>100800</xdr:rowOff>
    </xdr:from>
    <xdr:to>
      <xdr:col>12</xdr:col>
      <xdr:colOff>524520</xdr:colOff>
      <xdr:row>34</xdr:row>
      <xdr:rowOff>91440</xdr:rowOff>
    </xdr:to>
    <xdr:graphicFrame>
      <xdr:nvGraphicFramePr>
        <xdr:cNvPr id="5" name="Chart 1"/>
        <xdr:cNvGraphicFramePr/>
      </xdr:nvGraphicFramePr>
      <xdr:xfrm>
        <a:off x="9444960" y="6838920"/>
        <a:ext cx="6119640" cy="341964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3.xml.rels><?xml version="1.0" encoding="UTF-8"?>
<Relationships xmlns="http://schemas.openxmlformats.org/package/2006/relationships"><Relationship Id="rId1" Type="http://schemas.openxmlformats.org/officeDocument/2006/relationships/drawing" Target="../drawings/drawing1.xml"/>
</Relationships>
</file>

<file path=xl/worksheets/_rels/sheet4.xml.rels><?xml version="1.0" encoding="UTF-8"?>
<Relationships xmlns="http://schemas.openxmlformats.org/package/2006/relationships"><Relationship Id="rId1" Type="http://schemas.openxmlformats.org/officeDocument/2006/relationships/drawing" Target="../drawings/drawing2.xml"/>
</Relationships>
</file>

<file path=xl/worksheets/_rels/sheet5.xml.rels><?xml version="1.0" encoding="UTF-8"?>
<Relationships xmlns="http://schemas.openxmlformats.org/package/2006/relationships"><Relationship Id="rId1" Type="http://schemas.openxmlformats.org/officeDocument/2006/relationships/drawing" Target="../drawings/drawing3.xml"/>
</Relationships>
</file>

<file path=xl/worksheets/_rels/sheet6.xml.rels><?xml version="1.0" encoding="UTF-8"?>
<Relationships xmlns="http://schemas.openxmlformats.org/package/2006/relationships"><Relationship Id="rId1" Type="http://schemas.openxmlformats.org/officeDocument/2006/relationships/drawing" Target="../drawings/drawing4.xml"/>
</Relationships>
</file>

<file path=xl/worksheets/_rels/sheet7.xml.rels><?xml version="1.0" encoding="UTF-8"?>
<Relationships xmlns="http://schemas.openxmlformats.org/package/2006/relationships"><Relationship Id="rId1" Type="http://schemas.openxmlformats.org/officeDocument/2006/relationships/drawing" Target="../drawings/drawing5.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1F4E79"/>
    <pageSetUpPr fitToPage="false"/>
  </sheetPr>
  <dimension ref="A1:C30"/>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
    <col collapsed="false" customWidth="true" hidden="false" outlineLevel="0" max="2" min="2" style="0" width="30"/>
    <col collapsed="false" customWidth="true" hidden="false" outlineLevel="0" max="3" min="3" style="0" width="90"/>
  </cols>
  <sheetData>
    <row r="1" customFormat="false" ht="22.05" hidden="false" customHeight="false" outlineLevel="0" collapsed="false">
      <c r="A1" s="1" t="s">
        <v>0</v>
      </c>
    </row>
    <row r="2" customFormat="false" ht="15" hidden="false" customHeight="false" outlineLevel="0" collapsed="false">
      <c r="A2" s="2" t="s">
        <v>1</v>
      </c>
    </row>
    <row r="4" customFormat="false" ht="17.35" hidden="false" customHeight="false" outlineLevel="0" collapsed="false">
      <c r="B4" s="3" t="s">
        <v>2</v>
      </c>
    </row>
    <row r="5" customFormat="false" ht="15" hidden="false" customHeight="false" outlineLevel="0" collapsed="false">
      <c r="B5" s="4" t="s">
        <v>3</v>
      </c>
      <c r="C5" s="5" t="s">
        <v>4</v>
      </c>
    </row>
    <row r="6" customFormat="false" ht="15" hidden="false" customHeight="false" outlineLevel="0" collapsed="false">
      <c r="B6" s="4" t="s">
        <v>5</v>
      </c>
      <c r="C6" s="5" t="s">
        <v>6</v>
      </c>
    </row>
    <row r="7" customFormat="false" ht="15" hidden="false" customHeight="false" outlineLevel="0" collapsed="false">
      <c r="B7" s="4" t="s">
        <v>7</v>
      </c>
      <c r="C7" s="5" t="s">
        <v>8</v>
      </c>
    </row>
    <row r="9" customFormat="false" ht="17.35" hidden="false" customHeight="false" outlineLevel="0" collapsed="false">
      <c r="B9" s="3" t="s">
        <v>9</v>
      </c>
    </row>
    <row r="10" customFormat="false" ht="15" hidden="false" customHeight="false" outlineLevel="0" collapsed="false">
      <c r="B10" s="6" t="s">
        <v>10</v>
      </c>
      <c r="C10" s="5" t="s">
        <v>11</v>
      </c>
    </row>
    <row r="11" customFormat="false" ht="15" hidden="false" customHeight="false" outlineLevel="0" collapsed="false">
      <c r="B11" s="7" t="s">
        <v>12</v>
      </c>
      <c r="C11" s="5" t="s">
        <v>13</v>
      </c>
    </row>
    <row r="12" customFormat="false" ht="15" hidden="false" customHeight="false" outlineLevel="0" collapsed="false">
      <c r="B12" s="8" t="s">
        <v>14</v>
      </c>
      <c r="C12" s="5" t="s">
        <v>15</v>
      </c>
    </row>
    <row r="13" customFormat="false" ht="15" hidden="false" customHeight="false" outlineLevel="0" collapsed="false">
      <c r="B13" s="9" t="s">
        <v>16</v>
      </c>
      <c r="C13" s="5" t="s">
        <v>17</v>
      </c>
    </row>
    <row r="15" customFormat="false" ht="17.35" hidden="false" customHeight="false" outlineLevel="0" collapsed="false">
      <c r="B15" s="3" t="s">
        <v>18</v>
      </c>
    </row>
    <row r="16" customFormat="false" ht="26.85" hidden="false" customHeight="false" outlineLevel="0" collapsed="false">
      <c r="B16" s="7" t="s">
        <v>19</v>
      </c>
      <c r="C16" s="10" t="s">
        <v>20</v>
      </c>
    </row>
    <row r="17" customFormat="false" ht="26.85" hidden="false" customHeight="false" outlineLevel="0" collapsed="false">
      <c r="B17" s="7" t="s">
        <v>21</v>
      </c>
      <c r="C17" s="10" t="s">
        <v>22</v>
      </c>
    </row>
    <row r="18" customFormat="false" ht="26.85" hidden="false" customHeight="false" outlineLevel="0" collapsed="false">
      <c r="B18" s="7" t="s">
        <v>23</v>
      </c>
      <c r="C18" s="10" t="s">
        <v>24</v>
      </c>
    </row>
    <row r="19" customFormat="false" ht="26.85" hidden="false" customHeight="false" outlineLevel="0" collapsed="false">
      <c r="B19" s="7" t="s">
        <v>25</v>
      </c>
      <c r="C19" s="10" t="s">
        <v>26</v>
      </c>
    </row>
    <row r="20" customFormat="false" ht="26.85" hidden="false" customHeight="false" outlineLevel="0" collapsed="false">
      <c r="B20" s="7" t="s">
        <v>27</v>
      </c>
      <c r="C20" s="10" t="s">
        <v>28</v>
      </c>
    </row>
    <row r="21" customFormat="false" ht="26.85" hidden="false" customHeight="false" outlineLevel="0" collapsed="false">
      <c r="B21" s="7" t="s">
        <v>29</v>
      </c>
      <c r="C21" s="10" t="s">
        <v>30</v>
      </c>
    </row>
    <row r="22" customFormat="false" ht="15" hidden="false" customHeight="false" outlineLevel="0" collapsed="false">
      <c r="B22" s="7" t="s">
        <v>31</v>
      </c>
      <c r="C22" s="10" t="s">
        <v>32</v>
      </c>
    </row>
    <row r="25" customFormat="false" ht="17.35" hidden="false" customHeight="false" outlineLevel="0" collapsed="false">
      <c r="B25" s="3" t="s">
        <v>33</v>
      </c>
    </row>
    <row r="26" customFormat="false" ht="21.75" hidden="false" customHeight="true" outlineLevel="0" collapsed="false">
      <c r="B26" s="11" t="s">
        <v>34</v>
      </c>
      <c r="C26" s="11"/>
    </row>
    <row r="27" customFormat="false" ht="21.75" hidden="false" customHeight="true" outlineLevel="0" collapsed="false">
      <c r="B27" s="11"/>
      <c r="C27" s="11"/>
    </row>
    <row r="28" customFormat="false" ht="21.75" hidden="false" customHeight="true" outlineLevel="0" collapsed="false">
      <c r="B28" s="11"/>
      <c r="C28" s="11"/>
    </row>
    <row r="29" customFormat="false" ht="21.75" hidden="false" customHeight="true" outlineLevel="0" collapsed="false">
      <c r="B29" s="11"/>
      <c r="C29" s="11"/>
    </row>
    <row r="30" customFormat="false" ht="21.75" hidden="false" customHeight="true" outlineLevel="0" collapsed="false">
      <c r="B30" s="11"/>
      <c r="C30" s="11"/>
    </row>
  </sheetData>
  <mergeCells count="1">
    <mergeCell ref="B26:C30"/>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70AD47"/>
    <pageSetUpPr fitToPage="false"/>
  </sheetPr>
  <dimension ref="A1:E34"/>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2"/>
    <col collapsed="false" customWidth="true" hidden="false" outlineLevel="0" max="4" min="2" style="0" width="16"/>
    <col collapsed="false" customWidth="true" hidden="false" outlineLevel="0" max="5" min="5" style="0" width="70"/>
  </cols>
  <sheetData>
    <row r="1" customFormat="false" ht="22.05" hidden="false" customHeight="false" outlineLevel="0" collapsed="false">
      <c r="A1" s="1" t="s">
        <v>35</v>
      </c>
    </row>
    <row r="2" customFormat="false" ht="15" hidden="false" customHeight="false" outlineLevel="0" collapsed="false">
      <c r="A2" s="2" t="s">
        <v>36</v>
      </c>
    </row>
    <row r="4" customFormat="false" ht="15" hidden="false" customHeight="false" outlineLevel="0" collapsed="false">
      <c r="A4" s="12" t="s">
        <v>37</v>
      </c>
      <c r="B4" s="12" t="s">
        <v>38</v>
      </c>
      <c r="C4" s="12" t="s">
        <v>39</v>
      </c>
      <c r="D4" s="12"/>
      <c r="E4" s="12" t="s">
        <v>40</v>
      </c>
    </row>
    <row r="5" customFormat="false" ht="15" hidden="false" customHeight="false" outlineLevel="0" collapsed="false">
      <c r="A5" s="4" t="s">
        <v>41</v>
      </c>
      <c r="B5" s="13" t="n">
        <v>25000</v>
      </c>
      <c r="C5" s="5" t="s">
        <v>42</v>
      </c>
      <c r="E5" s="5" t="s">
        <v>43</v>
      </c>
    </row>
    <row r="6" customFormat="false" ht="15" hidden="false" customHeight="false" outlineLevel="0" collapsed="false">
      <c r="A6" s="4" t="s">
        <v>44</v>
      </c>
      <c r="B6" s="13" t="n">
        <v>25000</v>
      </c>
      <c r="C6" s="5" t="s">
        <v>42</v>
      </c>
      <c r="E6" s="5" t="s">
        <v>45</v>
      </c>
    </row>
    <row r="7" customFormat="false" ht="15" hidden="false" customHeight="false" outlineLevel="0" collapsed="false">
      <c r="A7" s="4" t="s">
        <v>46</v>
      </c>
      <c r="B7" s="13" t="n">
        <v>25000</v>
      </c>
      <c r="C7" s="5" t="s">
        <v>42</v>
      </c>
      <c r="E7" s="5" t="s">
        <v>47</v>
      </c>
    </row>
    <row r="8" customFormat="false" ht="15" hidden="false" customHeight="false" outlineLevel="0" collapsed="false">
      <c r="A8" s="4" t="s">
        <v>48</v>
      </c>
      <c r="B8" s="14" t="n">
        <v>30</v>
      </c>
      <c r="C8" s="5" t="s">
        <v>49</v>
      </c>
      <c r="E8" s="5" t="s">
        <v>50</v>
      </c>
    </row>
    <row r="9" customFormat="false" ht="15" hidden="false" customHeight="false" outlineLevel="0" collapsed="false">
      <c r="A9" s="4" t="s">
        <v>51</v>
      </c>
      <c r="B9" s="15" t="n">
        <v>0.15</v>
      </c>
      <c r="C9" s="5" t="s">
        <v>52</v>
      </c>
      <c r="E9" s="5" t="s">
        <v>53</v>
      </c>
    </row>
    <row r="10" customFormat="false" ht="15" hidden="false" customHeight="false" outlineLevel="0" collapsed="false">
      <c r="A10" s="4" t="s">
        <v>54</v>
      </c>
      <c r="B10" s="15" t="n">
        <v>0.06</v>
      </c>
      <c r="C10" s="5" t="s">
        <v>52</v>
      </c>
      <c r="E10" s="5" t="s">
        <v>55</v>
      </c>
    </row>
    <row r="11" customFormat="false" ht="15" hidden="false" customHeight="false" outlineLevel="0" collapsed="false">
      <c r="A11" s="4" t="s">
        <v>56</v>
      </c>
      <c r="B11" s="16" t="n">
        <f aca="false">Days/365</f>
        <v>0.0821917808219178</v>
      </c>
      <c r="C11" s="5" t="s">
        <v>57</v>
      </c>
      <c r="E11" s="5" t="s">
        <v>58</v>
      </c>
    </row>
    <row r="14" customFormat="false" ht="15" hidden="false" customHeight="false" outlineLevel="0" collapsed="false">
      <c r="A14" s="12" t="s">
        <v>59</v>
      </c>
      <c r="B14" s="12" t="s">
        <v>60</v>
      </c>
      <c r="C14" s="12" t="s">
        <v>61</v>
      </c>
      <c r="D14" s="12"/>
      <c r="E14" s="12" t="s">
        <v>40</v>
      </c>
    </row>
    <row r="15" customFormat="false" ht="15" hidden="false" customHeight="false" outlineLevel="0" collapsed="false">
      <c r="A15" s="4" t="s">
        <v>62</v>
      </c>
      <c r="B15" s="17" t="n">
        <f aca="false">(LN(Spot/Strike_Call)+(Rate+Vol^2/2)*T_years)/(Vol*SQRT(T_years))</f>
        <v>0.136178267531737</v>
      </c>
      <c r="C15" s="17" t="n">
        <f aca="false">(LN(Spot/Strike_Put)+(Rate+Vol^2/2)*T_years)/(Vol*SQRT(T_years))</f>
        <v>0.136178267531737</v>
      </c>
      <c r="E15" s="10" t="s">
        <v>63</v>
      </c>
    </row>
    <row r="16" customFormat="false" ht="15" hidden="false" customHeight="false" outlineLevel="0" collapsed="false">
      <c r="A16" s="4" t="s">
        <v>64</v>
      </c>
      <c r="B16" s="17" t="n">
        <f aca="false">B15-Vol*SQRT(T_years)</f>
        <v>0.0931746041006618</v>
      </c>
      <c r="C16" s="17" t="n">
        <f aca="false">C15-Vol*SQRT(T_years)</f>
        <v>0.0931746041006618</v>
      </c>
      <c r="E16" s="10" t="s">
        <v>63</v>
      </c>
    </row>
    <row r="17" customFormat="false" ht="15" hidden="false" customHeight="false" outlineLevel="0" collapsed="false">
      <c r="A17" s="4" t="s">
        <v>65</v>
      </c>
      <c r="B17" s="18" t="n">
        <f aca="false">Spot*NORMSDIST(B15)-Strike_Call*EXP(-Rate*T_years)*NORMSDIST(B16)</f>
        <v>492.11314210911</v>
      </c>
      <c r="C17" s="18" t="n">
        <f aca="false">Strike_Put*EXP(-Rate*T_years)*NORMSDIST(-C16)-Spot*NORMSDIST(-C15)</f>
        <v>369.128968768189</v>
      </c>
      <c r="E17" s="10" t="s">
        <v>66</v>
      </c>
    </row>
    <row r="18" customFormat="false" ht="15" hidden="false" customHeight="false" outlineLevel="0" collapsed="false">
      <c r="A18" s="4" t="s">
        <v>67</v>
      </c>
      <c r="B18" s="19" t="n">
        <f aca="false">NORMSDIST(B15)</f>
        <v>0.55415982244714</v>
      </c>
      <c r="C18" s="19" t="n">
        <f aca="false">NORMSDIST(C15)-1</f>
        <v>-0.44584017755286</v>
      </c>
      <c r="E18" s="10" t="s">
        <v>68</v>
      </c>
    </row>
    <row r="19" customFormat="false" ht="26.85" hidden="false" customHeight="false" outlineLevel="0" collapsed="false">
      <c r="A19" s="4" t="s">
        <v>69</v>
      </c>
      <c r="B19" s="20" t="n">
        <f aca="false">EXP(-((B15)^2)/2)/SQRT(2*PI())/(Spot*Vol*SQRT(T_years))</f>
        <v>0.000367652659162915</v>
      </c>
      <c r="C19" s="20" t="n">
        <f aca="false">EXP(-((C15)^2)/2)/SQRT(2*PI())/(Spot*Vol*SQRT(T_years))</f>
        <v>0.000367652659162915</v>
      </c>
      <c r="E19" s="10" t="s">
        <v>70</v>
      </c>
    </row>
    <row r="20" customFormat="false" ht="26.85" hidden="false" customHeight="false" outlineLevel="0" collapsed="false">
      <c r="A20" s="4" t="s">
        <v>71</v>
      </c>
      <c r="B20" s="18" t="n">
        <f aca="false">(-Spot*EXP(-((B15)^2)/2)/SQRT(2*PI())*Vol/(2*SQRT(T_years))-Rate*Strike_Call*EXP(-Rate*T_years)*NORMSDIST(B16))/365</f>
        <v>-9.27882384899565</v>
      </c>
      <c r="C20" s="18" t="n">
        <f aca="false">(-Spot*EXP(-((C15)^2)/2)/SQRT(2*PI())*Vol/(2*SQRT(T_years))+Rate*Strike_Put*EXP(-Rate*T_years)*NORMSDIST(-C16))/365</f>
        <v>-5.18945138433936</v>
      </c>
      <c r="E20" s="10" t="s">
        <v>72</v>
      </c>
    </row>
    <row r="21" customFormat="false" ht="26.85" hidden="false" customHeight="false" outlineLevel="0" collapsed="false">
      <c r="A21" s="4" t="s">
        <v>73</v>
      </c>
      <c r="B21" s="18" t="n">
        <f aca="false">Spot*EXP(-((B15)^2)/2)/SQRT(2*PI())*SQRT(T_years)/100</f>
        <v>28.3294001067315</v>
      </c>
      <c r="C21" s="18" t="n">
        <f aca="false">Spot*EXP(-((C15)^2)/2)/SQRT(2*PI())*SQRT(T_years)/100</f>
        <v>28.3294001067315</v>
      </c>
      <c r="E21" s="10" t="s">
        <v>74</v>
      </c>
    </row>
    <row r="24" customFormat="false" ht="15" hidden="false" customHeight="false" outlineLevel="0" collapsed="false">
      <c r="A24" s="12" t="s">
        <v>75</v>
      </c>
      <c r="B24" s="12" t="s">
        <v>76</v>
      </c>
      <c r="C24" s="12" t="s">
        <v>77</v>
      </c>
      <c r="D24" s="12" t="s">
        <v>62</v>
      </c>
      <c r="E24" s="12" t="s">
        <v>40</v>
      </c>
    </row>
    <row r="25" customFormat="false" ht="15" hidden="false" customHeight="false" outlineLevel="0" collapsed="false">
      <c r="A25" s="13" t="n">
        <v>24000</v>
      </c>
      <c r="B25" s="18" t="n">
        <f aca="false">Spot*NORMSDIST(D25)-A25*EXP(-Rate*T_years)*NORMSDIST(D25-Vol*SQRT(T_years))</f>
        <v>1195.44764185772</v>
      </c>
      <c r="C25" s="18" t="n">
        <f aca="false">A25*EXP(-Rate*T_years)*NORMSDIST(-(D25-Vol*SQRT(T_years)))-Spot*NORMSDIST(-D25)</f>
        <v>77.3828354504335</v>
      </c>
      <c r="D25" s="17" t="n">
        <f aca="false">(LN(Spot/A25)+(Rate+Vol^2/2)*T_years)/(Vol*SQRT(T_years))</f>
        <v>1.08544610341469</v>
      </c>
      <c r="E25" s="5" t="s">
        <v>78</v>
      </c>
    </row>
    <row r="26" customFormat="false" ht="15" hidden="false" customHeight="false" outlineLevel="0" collapsed="false">
      <c r="A26" s="13" t="n">
        <v>24500</v>
      </c>
      <c r="B26" s="18" t="n">
        <f aca="false">Spot*NORMSDIST(D26)-A26*EXP(-Rate*T_years)*NORMSDIST(D26-Vol*SQRT(T_years))</f>
        <v>804.141338130034</v>
      </c>
      <c r="C26" s="18" t="n">
        <f aca="false">A26*EXP(-Rate*T_years)*NORMSDIST(-(D26-Vol*SQRT(T_years)))-Spot*NORMSDIST(-D26)</f>
        <v>183.616848255931</v>
      </c>
      <c r="D26" s="17" t="n">
        <f aca="false">(LN(Spot/A26)+(Rate+Vol^2/2)*T_years)/(Vol*SQRT(T_years))</f>
        <v>0.605968645970074</v>
      </c>
      <c r="E26" s="5"/>
    </row>
    <row r="27" customFormat="false" ht="15" hidden="false" customHeight="false" outlineLevel="0" collapsed="false">
      <c r="A27" s="13" t="n">
        <v>25000</v>
      </c>
      <c r="B27" s="18" t="n">
        <f aca="false">Spot*NORMSDIST(D27)-A27*EXP(-Rate*T_years)*NORMSDIST(D27-Vol*SQRT(T_years))</f>
        <v>492.11314210911</v>
      </c>
      <c r="C27" s="18" t="n">
        <f aca="false">A27*EXP(-Rate*T_years)*NORMSDIST(-(D27-Vol*SQRT(T_years)))-Spot*NORMSDIST(-D27)</f>
        <v>369.128968768189</v>
      </c>
      <c r="D27" s="17" t="n">
        <f aca="false">(LN(Spot/A27)+(Rate+Vol^2/2)*T_years)/(Vol*SQRT(T_years))</f>
        <v>0.136178267531737</v>
      </c>
      <c r="E27" s="5"/>
    </row>
    <row r="28" customFormat="false" ht="15" hidden="false" customHeight="false" outlineLevel="0" collapsed="false">
      <c r="A28" s="13" t="n">
        <v>25500</v>
      </c>
      <c r="B28" s="18" t="n">
        <f aca="false">Spot*NORMSDIST(D28)-A28*EXP(-Rate*T_years)*NORMSDIST(D28-Vol*SQRT(T_years))</f>
        <v>270.377198284969</v>
      </c>
      <c r="C28" s="18" t="n">
        <f aca="false">A28*EXP(-Rate*T_years)*NORMSDIST(-(D28-Vol*SQRT(T_years)))-Spot*NORMSDIST(-D28)</f>
        <v>644.933341477228</v>
      </c>
      <c r="D28" s="17" t="n">
        <f aca="false">(LN(Spot/A28)+(Rate+Vol^2/2)*T_years)/(Vol*SQRT(T_years))</f>
        <v>-0.324308716976431</v>
      </c>
      <c r="E28" s="5"/>
    </row>
    <row r="29" customFormat="false" ht="15" hidden="false" customHeight="false" outlineLevel="0" collapsed="false">
      <c r="A29" s="13" t="n">
        <v>26000</v>
      </c>
      <c r="B29" s="18" t="n">
        <f aca="false">Spot*NORMSDIST(D29)-A29*EXP(-Rate*T_years)*NORMSDIST(D29-Vol*SQRT(T_years))</f>
        <v>132.064409967183</v>
      </c>
      <c r="C29" s="18" t="n">
        <f aca="false">A29*EXP(-Rate*T_years)*NORMSDIST(-(D29-Vol*SQRT(T_years)))-Spot*NORMSDIST(-D29)</f>
        <v>1004.16086969263</v>
      </c>
      <c r="D29" s="17" t="n">
        <f aca="false">(LN(Spot/A29)+(Rate+Vol^2/2)*T_years)/(Vol*SQRT(T_years))</f>
        <v>-0.775853639148571</v>
      </c>
      <c r="E29" s="5"/>
    </row>
    <row r="31" customFormat="false" ht="15" hidden="false" customHeight="true" outlineLevel="0" collapsed="false">
      <c r="A31" s="11" t="s">
        <v>79</v>
      </c>
      <c r="B31" s="11"/>
      <c r="C31" s="11"/>
      <c r="D31" s="11"/>
      <c r="E31" s="11"/>
    </row>
    <row r="32" customFormat="false" ht="15" hidden="false" customHeight="false" outlineLevel="0" collapsed="false">
      <c r="A32" s="11"/>
      <c r="B32" s="11"/>
      <c r="C32" s="11"/>
      <c r="D32" s="11"/>
      <c r="E32" s="11"/>
    </row>
    <row r="33" customFormat="false" ht="15" hidden="false" customHeight="false" outlineLevel="0" collapsed="false">
      <c r="A33" s="11"/>
      <c r="B33" s="11"/>
      <c r="C33" s="11"/>
      <c r="D33" s="11"/>
      <c r="E33" s="11"/>
    </row>
    <row r="34" customFormat="false" ht="15" hidden="false" customHeight="false" outlineLevel="0" collapsed="false">
      <c r="A34" s="11"/>
      <c r="B34" s="11"/>
      <c r="C34" s="11"/>
      <c r="D34" s="11"/>
      <c r="E34" s="11"/>
    </row>
  </sheetData>
  <mergeCells count="1">
    <mergeCell ref="A31:E34"/>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70AD47"/>
    <pageSetUpPr fitToPage="false"/>
  </sheetPr>
  <dimension ref="A1:R30"/>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13" topLeftCell="A14"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16"/>
    <col collapsed="false" customWidth="true" hidden="false" outlineLevel="0" max="2" min="2" style="0" width="12"/>
    <col collapsed="false" customWidth="true" hidden="false" outlineLevel="0" max="4" min="3" style="0" width="18"/>
    <col collapsed="false" customWidth="true" hidden="false" outlineLevel="0" max="5" min="5" style="0" width="20"/>
    <col collapsed="false" customWidth="true" hidden="false" outlineLevel="0" max="6" min="6" style="0" width="18"/>
    <col collapsed="false" customWidth="true" hidden="false" outlineLevel="0" max="7" min="7" style="0" width="4"/>
    <col collapsed="false" customWidth="true" hidden="false" outlineLevel="0" max="9" min="8" style="0" width="13"/>
  </cols>
  <sheetData>
    <row r="1" customFormat="false" ht="22.05" hidden="false" customHeight="false" outlineLevel="0" collapsed="false">
      <c r="A1" s="1" t="s">
        <v>80</v>
      </c>
    </row>
    <row r="2" customFormat="false" ht="15" hidden="false" customHeight="false" outlineLevel="0" collapsed="false">
      <c r="A2" s="2" t="s">
        <v>81</v>
      </c>
    </row>
    <row r="4" customFormat="false" ht="24" hidden="false" customHeight="true" outlineLevel="0" collapsed="false">
      <c r="A4" s="11" t="s">
        <v>82</v>
      </c>
      <c r="B4" s="11"/>
      <c r="C4" s="11"/>
      <c r="D4" s="11"/>
      <c r="E4" s="11"/>
      <c r="F4" s="11"/>
    </row>
    <row r="5" customFormat="false" ht="24" hidden="false" customHeight="true" outlineLevel="0" collapsed="false">
      <c r="A5" s="11"/>
      <c r="B5" s="11"/>
      <c r="C5" s="11"/>
      <c r="D5" s="11"/>
      <c r="E5" s="11"/>
      <c r="F5" s="11"/>
    </row>
    <row r="6" customFormat="false" ht="24" hidden="false" customHeight="true" outlineLevel="0" collapsed="false">
      <c r="A6" s="11"/>
      <c r="B6" s="11"/>
      <c r="C6" s="11"/>
      <c r="D6" s="11"/>
      <c r="E6" s="11"/>
      <c r="F6" s="11"/>
    </row>
    <row r="7" customFormat="false" ht="24" hidden="false" customHeight="true" outlineLevel="0" collapsed="false">
      <c r="A7" s="11"/>
      <c r="B7" s="11"/>
      <c r="C7" s="11"/>
      <c r="D7" s="11"/>
      <c r="E7" s="11"/>
      <c r="F7" s="11"/>
    </row>
    <row r="8" customFormat="false" ht="26.85" hidden="false" customHeight="true" outlineLevel="0" collapsed="false">
      <c r="A8" s="21" t="s">
        <v>83</v>
      </c>
      <c r="B8" s="21"/>
      <c r="C8" s="21"/>
      <c r="D8" s="21"/>
      <c r="E8" s="21"/>
      <c r="F8" s="21"/>
    </row>
    <row r="10" customFormat="false" ht="15" hidden="false" customHeight="false" outlineLevel="0" collapsed="false">
      <c r="A10" s="4" t="s">
        <v>84</v>
      </c>
      <c r="B10" s="22" t="n">
        <v>1</v>
      </c>
      <c r="C10" s="5" t="s">
        <v>85</v>
      </c>
      <c r="D10" s="4" t="s">
        <v>86</v>
      </c>
      <c r="E10" s="19" t="n">
        <f aca="false">B10*Put_Delta</f>
        <v>-0.44584017755286</v>
      </c>
    </row>
    <row r="11" customFormat="false" ht="15" hidden="false" customHeight="false" outlineLevel="0" collapsed="false">
      <c r="A11" s="4" t="s">
        <v>87</v>
      </c>
      <c r="B11" s="23" t="n">
        <f aca="false">Put_Price</f>
        <v>369.128968768189</v>
      </c>
      <c r="C11" s="5" t="s">
        <v>88</v>
      </c>
      <c r="D11" s="4" t="s">
        <v>89</v>
      </c>
      <c r="E11" s="20" t="n">
        <f aca="false">B10*Put_Gamma</f>
        <v>0.000367652659162915</v>
      </c>
    </row>
    <row r="13" customFormat="false" ht="45" hidden="false" customHeight="true" outlineLevel="0" collapsed="false">
      <c r="A13" s="12" t="s">
        <v>90</v>
      </c>
      <c r="B13" s="12" t="s">
        <v>91</v>
      </c>
      <c r="C13" s="12" t="s">
        <v>92</v>
      </c>
      <c r="D13" s="12" t="s">
        <v>93</v>
      </c>
      <c r="E13" s="12" t="s">
        <v>94</v>
      </c>
      <c r="F13" s="12" t="s">
        <v>95</v>
      </c>
      <c r="G13" s="12"/>
      <c r="H13" s="12" t="s">
        <v>62</v>
      </c>
      <c r="I13" s="12" t="s">
        <v>96</v>
      </c>
    </row>
    <row r="14" customFormat="false" ht="15" hidden="false" customHeight="false" outlineLevel="0" collapsed="false">
      <c r="A14" s="24" t="n">
        <v>23000</v>
      </c>
      <c r="B14" s="25" t="n">
        <f aca="false">A14-Spot</f>
        <v>-2000</v>
      </c>
      <c r="C14" s="26" t="n">
        <f aca="false">$B$10*(I14-Put_Price)</f>
        <v>1521.69573442598</v>
      </c>
      <c r="D14" s="27" t="n">
        <f aca="false">$E$10*B14</f>
        <v>891.680355105719</v>
      </c>
      <c r="E14" s="27" t="n">
        <f aca="false">$E$10*B14+0.5*$E$11*B14^2</f>
        <v>1626.98567343155</v>
      </c>
      <c r="F14" s="27" t="n">
        <f aca="false">0.5*$E$11*B14^2</f>
        <v>735.30531832583</v>
      </c>
      <c r="H14" s="17" t="n">
        <f aca="false">(LN(A14/Strike_Put)+(Rate+Vol^2/2)*T_years)/(Vol*SQRT(T_years))</f>
        <v>-1.80276372685656</v>
      </c>
      <c r="I14" s="28" t="n">
        <f aca="false">Strike_Put*EXP(-Rate*T_years)*NORMSDIST(-(H14-Vol*SQRT(T_years)))-A14*NORMSDIST(-H14)</f>
        <v>1890.82470319416</v>
      </c>
    </row>
    <row r="15" customFormat="false" ht="15" hidden="false" customHeight="false" outlineLevel="0" collapsed="false">
      <c r="A15" s="24" t="n">
        <v>23250</v>
      </c>
      <c r="B15" s="25" t="n">
        <f aca="false">A15-Spot</f>
        <v>-1750</v>
      </c>
      <c r="C15" s="26" t="n">
        <f aca="false">$B$10*(I15-Put_Price)</f>
        <v>1283.5004001141</v>
      </c>
      <c r="D15" s="27" t="n">
        <f aca="false">$E$10*B15</f>
        <v>780.220310717504</v>
      </c>
      <c r="E15" s="27" t="n">
        <f aca="false">$E$10*B15+0.5*$E$11*B15^2</f>
        <v>1343.18844506072</v>
      </c>
      <c r="F15" s="27" t="n">
        <f aca="false">0.5*$E$11*B15^2</f>
        <v>562.968134343214</v>
      </c>
      <c r="H15" s="17" t="n">
        <f aca="false">(LN(A15/Strike_Put)+(Rate+Vol^2/2)*T_years)/(Vol*SQRT(T_years))</f>
        <v>-1.55136849115663</v>
      </c>
      <c r="I15" s="28" t="n">
        <f aca="false">Strike_Put*EXP(-Rate*T_years)*NORMSDIST(-(H15-Vol*SQRT(T_years)))-A15*NORMSDIST(-H15)</f>
        <v>1652.62936888228</v>
      </c>
    </row>
    <row r="16" customFormat="false" ht="15" hidden="false" customHeight="false" outlineLevel="0" collapsed="false">
      <c r="A16" s="24" t="n">
        <v>23500</v>
      </c>
      <c r="B16" s="25" t="n">
        <f aca="false">A16-Spot</f>
        <v>-1500</v>
      </c>
      <c r="C16" s="26" t="n">
        <f aca="false">$B$10*(I16-Put_Price)</f>
        <v>1052.83774822438</v>
      </c>
      <c r="D16" s="27" t="n">
        <f aca="false">$E$10*B16</f>
        <v>668.76026632929</v>
      </c>
      <c r="E16" s="27" t="n">
        <f aca="false">$E$10*B16+0.5*$E$11*B16^2</f>
        <v>1082.36950788757</v>
      </c>
      <c r="F16" s="27" t="n">
        <f aca="false">0.5*$E$11*B16^2</f>
        <v>413.609241558279</v>
      </c>
      <c r="H16" s="17" t="n">
        <f aca="false">(LN(A16/Strike_Put)+(Rate+Vol^2/2)*T_years)/(Vol*SQRT(T_years))</f>
        <v>-1.30266202609255</v>
      </c>
      <c r="I16" s="28" t="n">
        <f aca="false">Strike_Put*EXP(-Rate*T_years)*NORMSDIST(-(H16-Vol*SQRT(T_years)))-A16*NORMSDIST(-H16)</f>
        <v>1421.96671699257</v>
      </c>
    </row>
    <row r="17" customFormat="false" ht="15" hidden="false" customHeight="false" outlineLevel="0" collapsed="false">
      <c r="A17" s="24" t="n">
        <v>23750</v>
      </c>
      <c r="B17" s="25" t="n">
        <f aca="false">A17-Spot</f>
        <v>-1250</v>
      </c>
      <c r="C17" s="26" t="n">
        <f aca="false">$B$10*(I17-Put_Price)</f>
        <v>832.765087159536</v>
      </c>
      <c r="D17" s="27" t="n">
        <f aca="false">$E$10*B17</f>
        <v>557.300221941075</v>
      </c>
      <c r="E17" s="27" t="n">
        <f aca="false">$E$10*B17+0.5*$E$11*B17^2</f>
        <v>844.528861912102</v>
      </c>
      <c r="F17" s="27" t="n">
        <f aca="false">0.5*$E$11*B17^2</f>
        <v>287.228639971027</v>
      </c>
      <c r="H17" s="17" t="n">
        <f aca="false">(LN(A17/Strike_Put)+(Rate+Vol^2/2)*T_years)/(Vol*SQRT(T_years))</f>
        <v>-1.05658742485543</v>
      </c>
      <c r="I17" s="28" t="n">
        <f aca="false">Strike_Put*EXP(-Rate*T_years)*NORMSDIST(-(H17-Vol*SQRT(T_years)))-A17*NORMSDIST(-H17)</f>
        <v>1201.89405592773</v>
      </c>
    </row>
    <row r="18" customFormat="false" ht="15" hidden="false" customHeight="false" outlineLevel="0" collapsed="false">
      <c r="A18" s="24" t="n">
        <v>24000</v>
      </c>
      <c r="B18" s="25" t="n">
        <f aca="false">A18-Spot</f>
        <v>-1000</v>
      </c>
      <c r="C18" s="26" t="n">
        <f aca="false">$B$10*(I18-Put_Price)</f>
        <v>626.661280282271</v>
      </c>
      <c r="D18" s="27" t="n">
        <f aca="false">$E$10*B18</f>
        <v>445.84017755286</v>
      </c>
      <c r="E18" s="27" t="n">
        <f aca="false">$E$10*B18+0.5*$E$11*B18^2</f>
        <v>629.666507134317</v>
      </c>
      <c r="F18" s="27" t="n">
        <f aca="false">0.5*$E$11*B18^2</f>
        <v>183.826329581458</v>
      </c>
      <c r="H18" s="17" t="n">
        <f aca="false">(LN(A18/Strike_Put)+(Rate+Vol^2/2)*T_years)/(Vol*SQRT(T_years))</f>
        <v>-0.813089568351217</v>
      </c>
      <c r="I18" s="28" t="n">
        <f aca="false">Strike_Put*EXP(-Rate*T_years)*NORMSDIST(-(H18-Vol*SQRT(T_years)))-A18*NORMSDIST(-H18)</f>
        <v>995.79024905046</v>
      </c>
    </row>
    <row r="19" customFormat="false" ht="15" hidden="false" customHeight="false" outlineLevel="0" collapsed="false">
      <c r="A19" s="24" t="n">
        <v>24250</v>
      </c>
      <c r="B19" s="25" t="n">
        <f aca="false">A19-Spot</f>
        <v>-750</v>
      </c>
      <c r="C19" s="26" t="n">
        <f aca="false">$B$10*(I19-Put_Price)</f>
        <v>437.878744113285</v>
      </c>
      <c r="D19" s="27" t="n">
        <f aca="false">$E$10*B19</f>
        <v>334.380133164645</v>
      </c>
      <c r="E19" s="27" t="n">
        <f aca="false">$E$10*B19+0.5*$E$11*B19^2</f>
        <v>437.782443554215</v>
      </c>
      <c r="F19" s="27" t="n">
        <f aca="false">0.5*$E$11*B19^2</f>
        <v>103.40231038957</v>
      </c>
      <c r="H19" s="17" t="n">
        <f aca="false">(LN(A19/Strike_Put)+(Rate+Vol^2/2)*T_years)/(Vol*SQRT(T_years))</f>
        <v>-0.572115051095127</v>
      </c>
      <c r="I19" s="28" t="n">
        <f aca="false">Strike_Put*EXP(-Rate*T_years)*NORMSDIST(-(H19-Vol*SQRT(T_years)))-A19*NORMSDIST(-H19)</f>
        <v>807.007712881474</v>
      </c>
    </row>
    <row r="20" customFormat="false" ht="15" hidden="false" customHeight="false" outlineLevel="0" collapsed="false">
      <c r="A20" s="24" t="n">
        <v>24500</v>
      </c>
      <c r="B20" s="25" t="n">
        <f aca="false">A20-Spot</f>
        <v>-500</v>
      </c>
      <c r="C20" s="26" t="n">
        <f aca="false">$B$10*(I20-Put_Price)</f>
        <v>269.324372187279</v>
      </c>
      <c r="D20" s="27" t="n">
        <f aca="false">$E$10*B20</f>
        <v>222.92008877643</v>
      </c>
      <c r="E20" s="27" t="n">
        <f aca="false">$E$10*B20+0.5*$E$11*B20^2</f>
        <v>268.876671171794</v>
      </c>
      <c r="F20" s="27" t="n">
        <f aca="false">0.5*$E$11*B20^2</f>
        <v>45.9565823953644</v>
      </c>
      <c r="H20" s="17" t="n">
        <f aca="false">(LN(A20/Strike_Put)+(Rate+Vol^2/2)*T_years)/(Vol*SQRT(T_years))</f>
        <v>-0.333612110906601</v>
      </c>
      <c r="I20" s="28" t="n">
        <f aca="false">Strike_Put*EXP(-Rate*T_years)*NORMSDIST(-(H20-Vol*SQRT(T_years)))-A20*NORMSDIST(-H20)</f>
        <v>638.453340955468</v>
      </c>
    </row>
    <row r="21" customFormat="false" ht="15" hidden="false" customHeight="false" outlineLevel="0" collapsed="false">
      <c r="A21" s="24" t="n">
        <v>24750</v>
      </c>
      <c r="B21" s="25" t="n">
        <f aca="false">A21-Spot</f>
        <v>-250</v>
      </c>
      <c r="C21" s="26" t="n">
        <f aca="false">$B$10*(I21-Put_Price)</f>
        <v>123.057729117636</v>
      </c>
      <c r="D21" s="27" t="n">
        <f aca="false">$E$10*B21</f>
        <v>111.460044388215</v>
      </c>
      <c r="E21" s="27" t="n">
        <f aca="false">$E$10*B21+0.5*$E$11*B21^2</f>
        <v>122.949189987056</v>
      </c>
      <c r="F21" s="27" t="n">
        <f aca="false">0.5*$E$11*B21^2</f>
        <v>11.4891455988411</v>
      </c>
      <c r="H21" s="17" t="n">
        <f aca="false">(LN(A21/Strike_Put)+(Rate+Vol^2/2)*T_years)/(Vol*SQRT(T_years))</f>
        <v>-0.0975305621732003</v>
      </c>
      <c r="I21" s="28" t="n">
        <f aca="false">Strike_Put*EXP(-Rate*T_years)*NORMSDIST(-(H21-Vol*SQRT(T_years)))-A21*NORMSDIST(-H21)</f>
        <v>492.186697885825</v>
      </c>
    </row>
    <row r="22" customFormat="false" ht="15" hidden="false" customHeight="false" outlineLevel="0" collapsed="false">
      <c r="A22" s="24" t="n">
        <v>25000</v>
      </c>
      <c r="B22" s="25" t="n">
        <f aca="false">A22-Spot</f>
        <v>0</v>
      </c>
      <c r="C22" s="26" t="n">
        <f aca="false">$B$10*(I22-Put_Price)</f>
        <v>0</v>
      </c>
      <c r="D22" s="27" t="n">
        <f aca="false">$E$10*B22</f>
        <v>-0</v>
      </c>
      <c r="E22" s="27" t="n">
        <f aca="false">$E$10*B22+0.5*$E$11*B22^2</f>
        <v>0</v>
      </c>
      <c r="F22" s="27" t="n">
        <f aca="false">0.5*$E$11*B22^2</f>
        <v>0</v>
      </c>
      <c r="H22" s="17" t="n">
        <f aca="false">(LN(A22/Strike_Put)+(Rate+Vol^2/2)*T_years)/(Vol*SQRT(T_years))</f>
        <v>0.136178267531737</v>
      </c>
      <c r="I22" s="28" t="n">
        <f aca="false">Strike_Put*EXP(-Rate*T_years)*NORMSDIST(-(H22-Vol*SQRT(T_years)))-A22*NORMSDIST(-H22)</f>
        <v>369.128968768189</v>
      </c>
    </row>
    <row r="23" customFormat="false" ht="15" hidden="false" customHeight="false" outlineLevel="0" collapsed="false">
      <c r="A23" s="24" t="n">
        <v>25250</v>
      </c>
      <c r="B23" s="25" t="n">
        <f aca="false">A23-Spot</f>
        <v>250</v>
      </c>
      <c r="C23" s="26" t="n">
        <f aca="false">$B$10*(I23-Put_Price)</f>
        <v>-100.17836698704</v>
      </c>
      <c r="D23" s="27" t="n">
        <f aca="false">$E$10*B23</f>
        <v>-111.460044388215</v>
      </c>
      <c r="E23" s="27" t="n">
        <f aca="false">$E$10*B23+0.5*$E$11*B23^2</f>
        <v>-99.9708987893738</v>
      </c>
      <c r="F23" s="27" t="n">
        <f aca="false">0.5*$E$11*B23^2</f>
        <v>11.4891455988411</v>
      </c>
      <c r="H23" s="17" t="n">
        <f aca="false">(LN(A23/Strike_Put)+(Rate+Vol^2/2)*T_years)/(Vol*SQRT(T_years))</f>
        <v>0.367561597677929</v>
      </c>
      <c r="I23" s="28" t="n">
        <f aca="false">Strike_Put*EXP(-Rate*T_years)*NORMSDIST(-(H23-Vol*SQRT(T_years)))-A23*NORMSDIST(-H23)</f>
        <v>268.950601781149</v>
      </c>
    </row>
    <row r="24" customFormat="false" ht="15" hidden="false" customHeight="false" outlineLevel="0" collapsed="false">
      <c r="A24" s="24" t="n">
        <v>25500</v>
      </c>
      <c r="B24" s="25" t="n">
        <f aca="false">A24-Spot</f>
        <v>500</v>
      </c>
      <c r="C24" s="26" t="n">
        <f aca="false">$B$10*(I24-Put_Price)</f>
        <v>-178.970806566476</v>
      </c>
      <c r="D24" s="27" t="n">
        <f aca="false">$E$10*B24</f>
        <v>-222.92008877643</v>
      </c>
      <c r="E24" s="27" t="n">
        <f aca="false">$E$10*B24+0.5*$E$11*B24^2</f>
        <v>-176.963506381065</v>
      </c>
      <c r="F24" s="27" t="n">
        <f aca="false">0.5*$E$11*B24^2</f>
        <v>45.9565823953644</v>
      </c>
      <c r="H24" s="17" t="n">
        <f aca="false">(LN(A24/Strike_Put)+(Rate+Vol^2/2)*T_years)/(Vol*SQRT(T_years))</f>
        <v>0.596665252039904</v>
      </c>
      <c r="I24" s="28" t="n">
        <f aca="false">Strike_Put*EXP(-Rate*T_years)*NORMSDIST(-(H24-Vol*SQRT(T_years)))-A24*NORMSDIST(-H24)</f>
        <v>190.158162201713</v>
      </c>
    </row>
    <row r="25" customFormat="false" ht="15" hidden="false" customHeight="true" outlineLevel="0" collapsed="false">
      <c r="A25" s="24" t="n">
        <v>25750</v>
      </c>
      <c r="B25" s="25" t="n">
        <f aca="false">A25-Spot</f>
        <v>750</v>
      </c>
      <c r="C25" s="26" t="n">
        <f aca="false">$B$10*(I25-Put_Price)</f>
        <v>-238.779671480715</v>
      </c>
      <c r="D25" s="27" t="n">
        <f aca="false">$E$10*B25</f>
        <v>-334.380133164645</v>
      </c>
      <c r="E25" s="27" t="n">
        <f aca="false">$E$10*B25+0.5*$E$11*B25^2</f>
        <v>-230.977822775075</v>
      </c>
      <c r="F25" s="27" t="n">
        <f aca="false">0.5*$E$11*B25^2</f>
        <v>103.40231038957</v>
      </c>
      <c r="H25" s="17" t="n">
        <f aca="false">(LN(A25/Strike_Put)+(Rate+Vol^2/2)*T_years)/(Vol*SQRT(T_years))</f>
        <v>0.823533713165354</v>
      </c>
      <c r="I25" s="28" t="n">
        <f aca="false">Strike_Put*EXP(-Rate*T_years)*NORMSDIST(-(H25-Vol*SQRT(T_years)))-A25*NORMSDIST(-H25)</f>
        <v>130.349297287475</v>
      </c>
      <c r="K25" s="11" t="s">
        <v>97</v>
      </c>
      <c r="L25" s="11"/>
      <c r="M25" s="11"/>
      <c r="N25" s="11"/>
      <c r="O25" s="11"/>
      <c r="P25" s="11"/>
      <c r="Q25" s="11"/>
      <c r="R25" s="11"/>
    </row>
    <row r="26" customFormat="false" ht="15" hidden="false" customHeight="false" outlineLevel="0" collapsed="false">
      <c r="A26" s="24" t="n">
        <v>26000</v>
      </c>
      <c r="B26" s="25" t="n">
        <f aca="false">A26-Spot</f>
        <v>1000</v>
      </c>
      <c r="C26" s="26" t="n">
        <f aca="false">$B$10*(I26-Put_Price)</f>
        <v>-282.561951828798</v>
      </c>
      <c r="D26" s="27" t="n">
        <f aca="false">$E$10*B26</f>
        <v>-445.84017755286</v>
      </c>
      <c r="E26" s="27" t="n">
        <f aca="false">$E$10*B26+0.5*$E$11*B26^2</f>
        <v>-262.013847971402</v>
      </c>
      <c r="F26" s="27" t="n">
        <f aca="false">0.5*$E$11*B26^2</f>
        <v>183.826329581458</v>
      </c>
      <c r="H26" s="17" t="n">
        <f aca="false">(LN(A26/Strike_Put)+(Rate+Vol^2/2)*T_years)/(Vol*SQRT(T_years))</f>
        <v>1.04821017421205</v>
      </c>
      <c r="I26" s="28" t="n">
        <f aca="false">Strike_Put*EXP(-Rate*T_years)*NORMSDIST(-(H26-Vol*SQRT(T_years)))-A26*NORMSDIST(-H26)</f>
        <v>86.5670169393916</v>
      </c>
      <c r="K26" s="11"/>
      <c r="L26" s="11"/>
      <c r="M26" s="11"/>
      <c r="N26" s="11"/>
      <c r="O26" s="11"/>
      <c r="P26" s="11"/>
      <c r="Q26" s="11"/>
      <c r="R26" s="11"/>
    </row>
    <row r="27" customFormat="false" ht="15" hidden="false" customHeight="false" outlineLevel="0" collapsed="false">
      <c r="A27" s="24" t="n">
        <v>26250</v>
      </c>
      <c r="B27" s="25" t="n">
        <f aca="false">A27-Spot</f>
        <v>1250</v>
      </c>
      <c r="C27" s="26" t="n">
        <f aca="false">$B$10*(I27-Put_Price)</f>
        <v>-313.457521503825</v>
      </c>
      <c r="D27" s="27" t="n">
        <f aca="false">$E$10*B27</f>
        <v>-557.300221941075</v>
      </c>
      <c r="E27" s="27" t="n">
        <f aca="false">$E$10*B27+0.5*$E$11*B27^2</f>
        <v>-270.071581970047</v>
      </c>
      <c r="F27" s="27" t="n">
        <f aca="false">0.5*$E$11*B27^2</f>
        <v>287.228639971027</v>
      </c>
      <c r="H27" s="17" t="n">
        <f aca="false">(LN(A27/Strike_Put)+(Rate+Vol^2/2)*T_years)/(Vol*SQRT(T_years))</f>
        <v>1.27073658830438</v>
      </c>
      <c r="I27" s="28" t="n">
        <f aca="false">Strike_Put*EXP(-Rate*T_years)*NORMSDIST(-(H27-Vol*SQRT(T_years)))-A27*NORMSDIST(-H27)</f>
        <v>55.6714472643644</v>
      </c>
      <c r="K27" s="11"/>
      <c r="L27" s="11"/>
      <c r="M27" s="11"/>
      <c r="N27" s="11"/>
      <c r="O27" s="11"/>
      <c r="P27" s="11"/>
      <c r="Q27" s="11"/>
      <c r="R27" s="11"/>
    </row>
    <row r="28" customFormat="false" ht="15" hidden="false" customHeight="false" outlineLevel="0" collapsed="false">
      <c r="A28" s="24" t="n">
        <v>26500</v>
      </c>
      <c r="B28" s="25" t="n">
        <f aca="false">A28-Spot</f>
        <v>1500</v>
      </c>
      <c r="C28" s="26" t="n">
        <f aca="false">$B$10*(I28-Put_Price)</f>
        <v>-334.470178653522</v>
      </c>
      <c r="D28" s="27" t="n">
        <f aca="false">$E$10*B28</f>
        <v>-668.76026632929</v>
      </c>
      <c r="E28" s="27" t="n">
        <f aca="false">$E$10*B28+0.5*$E$11*B28^2</f>
        <v>-255.15102477101</v>
      </c>
      <c r="F28" s="27" t="n">
        <f aca="false">0.5*$E$11*B28^2</f>
        <v>413.609241558279</v>
      </c>
      <c r="H28" s="17" t="n">
        <f aca="false">(LN(A28/Strike_Put)+(Rate+Vol^2/2)*T_years)/(Vol*SQRT(T_years))</f>
        <v>1.49115371555067</v>
      </c>
      <c r="I28" s="28" t="n">
        <f aca="false">Strike_Put*EXP(-Rate*T_years)*NORMSDIST(-(H28-Vol*SQRT(T_years)))-A28*NORMSDIST(-H28)</f>
        <v>34.6587901146672</v>
      </c>
      <c r="K28" s="11"/>
      <c r="L28" s="11"/>
      <c r="M28" s="11"/>
      <c r="N28" s="11"/>
      <c r="O28" s="11"/>
      <c r="P28" s="11"/>
      <c r="Q28" s="11"/>
      <c r="R28" s="11"/>
    </row>
    <row r="29" customFormat="false" ht="15" hidden="false" customHeight="false" outlineLevel="0" collapsed="false">
      <c r="A29" s="24" t="n">
        <v>26750</v>
      </c>
      <c r="B29" s="25" t="n">
        <f aca="false">A29-Spot</f>
        <v>1750</v>
      </c>
      <c r="C29" s="26" t="n">
        <f aca="false">$B$10*(I29-Put_Price)</f>
        <v>-348.244265840105</v>
      </c>
      <c r="D29" s="27" t="n">
        <f aca="false">$E$10*B29</f>
        <v>-780.220310717504</v>
      </c>
      <c r="E29" s="27" t="n">
        <f aca="false">$E$10*B29+0.5*$E$11*B29^2</f>
        <v>-217.252176374291</v>
      </c>
      <c r="F29" s="27" t="n">
        <f aca="false">0.5*$E$11*B29^2</f>
        <v>562.968134343214</v>
      </c>
      <c r="H29" s="17" t="n">
        <f aca="false">(LN(A29/Strike_Put)+(Rate+Vol^2/2)*T_years)/(Vol*SQRT(T_years))</f>
        <v>1.70950116785293</v>
      </c>
      <c r="I29" s="28" t="n">
        <f aca="false">Strike_Put*EXP(-Rate*T_years)*NORMSDIST(-(H29-Vol*SQRT(T_years)))-A29*NORMSDIST(-H29)</f>
        <v>20.8847029280844</v>
      </c>
      <c r="K29" s="11"/>
      <c r="L29" s="11"/>
      <c r="M29" s="11"/>
      <c r="N29" s="11"/>
      <c r="O29" s="11"/>
      <c r="P29" s="11"/>
      <c r="Q29" s="11"/>
      <c r="R29" s="11"/>
    </row>
    <row r="30" customFormat="false" ht="15" hidden="false" customHeight="false" outlineLevel="0" collapsed="false">
      <c r="A30" s="24" t="n">
        <v>27000</v>
      </c>
      <c r="B30" s="25" t="n">
        <f aca="false">A30-Spot</f>
        <v>2000</v>
      </c>
      <c r="C30" s="26" t="n">
        <f aca="false">$B$10*(I30-Put_Price)</f>
        <v>-356.948339812372</v>
      </c>
      <c r="D30" s="27" t="n">
        <f aca="false">$E$10*B30</f>
        <v>-891.680355105719</v>
      </c>
      <c r="E30" s="27" t="n">
        <f aca="false">$E$10*B30+0.5*$E$11*B30^2</f>
        <v>-156.375036779889</v>
      </c>
      <c r="F30" s="27" t="n">
        <f aca="false">0.5*$E$11*B30^2</f>
        <v>735.30531832583</v>
      </c>
      <c r="H30" s="17" t="n">
        <f aca="false">(LN(A30/Strike_Put)+(Rate+Vol^2/2)*T_years)/(Vol*SQRT(T_years))</f>
        <v>1.92581745163241</v>
      </c>
      <c r="I30" s="28" t="n">
        <f aca="false">Strike_Put*EXP(-Rate*T_years)*NORMSDIST(-(H30-Vol*SQRT(T_years)))-A30*NORMSDIST(-H30)</f>
        <v>12.1806289558168</v>
      </c>
      <c r="K30" s="11"/>
      <c r="L30" s="11"/>
      <c r="M30" s="11"/>
      <c r="N30" s="11"/>
      <c r="O30" s="11"/>
      <c r="P30" s="11"/>
      <c r="Q30" s="11"/>
      <c r="R30" s="11"/>
    </row>
  </sheetData>
  <mergeCells count="3">
    <mergeCell ref="A4:F7"/>
    <mergeCell ref="A8:F8"/>
    <mergeCell ref="K25:R30"/>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70AD47"/>
    <pageSetUpPr fitToPage="false"/>
  </sheetPr>
  <dimension ref="A1:R30"/>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13" topLeftCell="A14"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16"/>
    <col collapsed="false" customWidth="true" hidden="false" outlineLevel="0" max="2" min="2" style="0" width="12"/>
    <col collapsed="false" customWidth="true" hidden="false" outlineLevel="0" max="4" min="3" style="0" width="18"/>
    <col collapsed="false" customWidth="true" hidden="false" outlineLevel="0" max="5" min="5" style="0" width="20"/>
    <col collapsed="false" customWidth="true" hidden="false" outlineLevel="0" max="6" min="6" style="0" width="18"/>
    <col collapsed="false" customWidth="true" hidden="false" outlineLevel="0" max="7" min="7" style="0" width="4"/>
    <col collapsed="false" customWidth="true" hidden="false" outlineLevel="0" max="9" min="8" style="0" width="13"/>
  </cols>
  <sheetData>
    <row r="1" customFormat="false" ht="22.05" hidden="false" customHeight="false" outlineLevel="0" collapsed="false">
      <c r="A1" s="1" t="s">
        <v>98</v>
      </c>
    </row>
    <row r="2" customFormat="false" ht="15" hidden="false" customHeight="false" outlineLevel="0" collapsed="false">
      <c r="A2" s="2" t="s">
        <v>99</v>
      </c>
    </row>
    <row r="4" customFormat="false" ht="24" hidden="false" customHeight="true" outlineLevel="0" collapsed="false">
      <c r="A4" s="11" t="s">
        <v>100</v>
      </c>
      <c r="B4" s="11"/>
      <c r="C4" s="11"/>
      <c r="D4" s="11"/>
      <c r="E4" s="11"/>
      <c r="F4" s="11"/>
    </row>
    <row r="5" customFormat="false" ht="24" hidden="false" customHeight="true" outlineLevel="0" collapsed="false">
      <c r="A5" s="11"/>
      <c r="B5" s="11"/>
      <c r="C5" s="11"/>
      <c r="D5" s="11"/>
      <c r="E5" s="11"/>
      <c r="F5" s="11"/>
    </row>
    <row r="6" customFormat="false" ht="24" hidden="false" customHeight="true" outlineLevel="0" collapsed="false">
      <c r="A6" s="11"/>
      <c r="B6" s="11"/>
      <c r="C6" s="11"/>
      <c r="D6" s="11"/>
      <c r="E6" s="11"/>
      <c r="F6" s="11"/>
    </row>
    <row r="7" customFormat="false" ht="24" hidden="false" customHeight="true" outlineLevel="0" collapsed="false">
      <c r="A7" s="11"/>
      <c r="B7" s="11"/>
      <c r="C7" s="11"/>
      <c r="D7" s="11"/>
      <c r="E7" s="11"/>
      <c r="F7" s="11"/>
    </row>
    <row r="8" customFormat="false" ht="26.85" hidden="false" customHeight="true" outlineLevel="0" collapsed="false">
      <c r="A8" s="21" t="s">
        <v>83</v>
      </c>
      <c r="B8" s="21"/>
      <c r="C8" s="21"/>
      <c r="D8" s="21"/>
      <c r="E8" s="21"/>
      <c r="F8" s="21"/>
    </row>
    <row r="10" customFormat="false" ht="15" hidden="false" customHeight="false" outlineLevel="0" collapsed="false">
      <c r="A10" s="4" t="s">
        <v>84</v>
      </c>
      <c r="B10" s="22" t="n">
        <v>-1</v>
      </c>
      <c r="C10" s="5" t="s">
        <v>85</v>
      </c>
      <c r="D10" s="4" t="s">
        <v>86</v>
      </c>
      <c r="E10" s="19" t="n">
        <f aca="false">B10*Call_Delta</f>
        <v>-0.55415982244714</v>
      </c>
    </row>
    <row r="11" customFormat="false" ht="15" hidden="false" customHeight="false" outlineLevel="0" collapsed="false">
      <c r="A11" s="4" t="s">
        <v>87</v>
      </c>
      <c r="B11" s="23" t="n">
        <f aca="false">Call_Price</f>
        <v>492.11314210911</v>
      </c>
      <c r="C11" s="5" t="s">
        <v>88</v>
      </c>
      <c r="D11" s="4" t="s">
        <v>89</v>
      </c>
      <c r="E11" s="20" t="n">
        <f aca="false">B10*Call_Gamma</f>
        <v>-0.000367652659162915</v>
      </c>
    </row>
    <row r="13" customFormat="false" ht="45" hidden="false" customHeight="true" outlineLevel="0" collapsed="false">
      <c r="A13" s="12" t="s">
        <v>90</v>
      </c>
      <c r="B13" s="12" t="s">
        <v>91</v>
      </c>
      <c r="C13" s="12" t="s">
        <v>92</v>
      </c>
      <c r="D13" s="12" t="s">
        <v>93</v>
      </c>
      <c r="E13" s="12" t="s">
        <v>94</v>
      </c>
      <c r="F13" s="12" t="s">
        <v>95</v>
      </c>
      <c r="G13" s="12"/>
      <c r="H13" s="12" t="s">
        <v>62</v>
      </c>
      <c r="I13" s="12" t="s">
        <v>96</v>
      </c>
    </row>
    <row r="14" customFormat="false" ht="15" hidden="false" customHeight="false" outlineLevel="0" collapsed="false">
      <c r="A14" s="24" t="n">
        <v>23000</v>
      </c>
      <c r="B14" s="25" t="n">
        <f aca="false">A14-Spot</f>
        <v>-2000</v>
      </c>
      <c r="C14" s="26" t="n">
        <f aca="false">$B$10*(I14-Call_Price)</f>
        <v>478.304265574026</v>
      </c>
      <c r="D14" s="27" t="n">
        <f aca="false">$E$10*B14</f>
        <v>1108.31964489428</v>
      </c>
      <c r="E14" s="27" t="n">
        <f aca="false">$E$10*B14+0.5*$E$11*B14^2</f>
        <v>373.014326568451</v>
      </c>
      <c r="F14" s="27" t="n">
        <f aca="false">0.5*$E$11*B14^2</f>
        <v>-735.30531832583</v>
      </c>
      <c r="H14" s="17" t="n">
        <f aca="false">(LN(A14/Strike_Call)+(Rate+Vol^2/2)*T_years)/(Vol*SQRT(T_years))</f>
        <v>-1.80276372685656</v>
      </c>
      <c r="I14" s="28" t="n">
        <f aca="false">A14*NORMSDIST(H14)-Strike_Call*EXP(-Rate*T_years)*NORMSDIST(H14-Vol*SQRT(T_years))</f>
        <v>13.808876535084</v>
      </c>
    </row>
    <row r="15" customFormat="false" ht="15" hidden="false" customHeight="false" outlineLevel="0" collapsed="false">
      <c r="A15" s="24" t="n">
        <v>23250</v>
      </c>
      <c r="B15" s="25" t="n">
        <f aca="false">A15-Spot</f>
        <v>-1750</v>
      </c>
      <c r="C15" s="26" t="n">
        <f aca="false">$B$10*(I15-Call_Price)</f>
        <v>466.499599885907</v>
      </c>
      <c r="D15" s="27" t="n">
        <f aca="false">$E$10*B15</f>
        <v>969.779689282496</v>
      </c>
      <c r="E15" s="27" t="n">
        <f aca="false">$E$10*B15+0.5*$E$11*B15^2</f>
        <v>406.811554939282</v>
      </c>
      <c r="F15" s="27" t="n">
        <f aca="false">0.5*$E$11*B15^2</f>
        <v>-562.968134343214</v>
      </c>
      <c r="H15" s="17" t="n">
        <f aca="false">(LN(A15/Strike_Call)+(Rate+Vol^2/2)*T_years)/(Vol*SQRT(T_years))</f>
        <v>-1.55136849115663</v>
      </c>
      <c r="I15" s="28" t="n">
        <f aca="false">A15*NORMSDIST(H15)-Strike_Call*EXP(-Rate*T_years)*NORMSDIST(H15-Vol*SQRT(T_years))</f>
        <v>25.6135422232035</v>
      </c>
    </row>
    <row r="16" customFormat="false" ht="15" hidden="false" customHeight="false" outlineLevel="0" collapsed="false">
      <c r="A16" s="24" t="n">
        <v>23500</v>
      </c>
      <c r="B16" s="25" t="n">
        <f aca="false">A16-Spot</f>
        <v>-1500</v>
      </c>
      <c r="C16" s="26" t="n">
        <f aca="false">$B$10*(I16-Call_Price)</f>
        <v>447.162251775622</v>
      </c>
      <c r="D16" s="27" t="n">
        <f aca="false">$E$10*B16</f>
        <v>831.239733670711</v>
      </c>
      <c r="E16" s="27" t="n">
        <f aca="false">$E$10*B16+0.5*$E$11*B16^2</f>
        <v>417.630492112431</v>
      </c>
      <c r="F16" s="27" t="n">
        <f aca="false">0.5*$E$11*B16^2</f>
        <v>-413.609241558279</v>
      </c>
      <c r="H16" s="17" t="n">
        <f aca="false">(LN(A16/Strike_Call)+(Rate+Vol^2/2)*T_years)/(Vol*SQRT(T_years))</f>
        <v>-1.30266202609255</v>
      </c>
      <c r="I16" s="28" t="n">
        <f aca="false">A16*NORMSDIST(H16)-Strike_Call*EXP(-Rate*T_years)*NORMSDIST(H16-Vol*SQRT(T_years))</f>
        <v>44.9508903334881</v>
      </c>
    </row>
    <row r="17" customFormat="false" ht="15" hidden="false" customHeight="false" outlineLevel="0" collapsed="false">
      <c r="A17" s="24" t="n">
        <v>23750</v>
      </c>
      <c r="B17" s="25" t="n">
        <f aca="false">A17-Spot</f>
        <v>-1250</v>
      </c>
      <c r="C17" s="26" t="n">
        <f aca="false">$B$10*(I17-Call_Price)</f>
        <v>417.234912840468</v>
      </c>
      <c r="D17" s="27" t="n">
        <f aca="false">$E$10*B17</f>
        <v>692.699778058925</v>
      </c>
      <c r="E17" s="27" t="n">
        <f aca="false">$E$10*B17+0.5*$E$11*B17^2</f>
        <v>405.471138087898</v>
      </c>
      <c r="F17" s="27" t="n">
        <f aca="false">0.5*$E$11*B17^2</f>
        <v>-287.228639971027</v>
      </c>
      <c r="H17" s="17" t="n">
        <f aca="false">(LN(A17/Strike_Call)+(Rate+Vol^2/2)*T_years)/(Vol*SQRT(T_years))</f>
        <v>-1.05658742485543</v>
      </c>
      <c r="I17" s="28" t="n">
        <f aca="false">A17*NORMSDIST(H17)-Strike_Call*EXP(-Rate*T_years)*NORMSDIST(H17-Vol*SQRT(T_years))</f>
        <v>74.8782292686424</v>
      </c>
    </row>
    <row r="18" customFormat="false" ht="15" hidden="false" customHeight="false" outlineLevel="0" collapsed="false">
      <c r="A18" s="24" t="n">
        <v>24000</v>
      </c>
      <c r="B18" s="25" t="n">
        <f aca="false">A18-Spot</f>
        <v>-1000</v>
      </c>
      <c r="C18" s="26" t="n">
        <f aca="false">$B$10*(I18-Call_Price)</f>
        <v>373.33871971773</v>
      </c>
      <c r="D18" s="27" t="n">
        <f aca="false">$E$10*B18</f>
        <v>554.15982244714</v>
      </c>
      <c r="E18" s="27" t="n">
        <f aca="false">$E$10*B18+0.5*$E$11*B18^2</f>
        <v>370.333492865683</v>
      </c>
      <c r="F18" s="27" t="n">
        <f aca="false">0.5*$E$11*B18^2</f>
        <v>-183.826329581458</v>
      </c>
      <c r="H18" s="17" t="n">
        <f aca="false">(LN(A18/Strike_Call)+(Rate+Vol^2/2)*T_years)/(Vol*SQRT(T_years))</f>
        <v>-0.813089568351217</v>
      </c>
      <c r="I18" s="28" t="n">
        <f aca="false">A18*NORMSDIST(H18)-Strike_Call*EXP(-Rate*T_years)*NORMSDIST(H18-Vol*SQRT(T_years))</f>
        <v>118.774422391381</v>
      </c>
    </row>
    <row r="19" customFormat="false" ht="15" hidden="false" customHeight="false" outlineLevel="0" collapsed="false">
      <c r="A19" s="24" t="n">
        <v>24250</v>
      </c>
      <c r="B19" s="25" t="n">
        <f aca="false">A19-Spot</f>
        <v>-750</v>
      </c>
      <c r="C19" s="26" t="n">
        <f aca="false">$B$10*(I19-Call_Price)</f>
        <v>312.121255886718</v>
      </c>
      <c r="D19" s="27" t="n">
        <f aca="false">$E$10*B19</f>
        <v>415.619866835355</v>
      </c>
      <c r="E19" s="27" t="n">
        <f aca="false">$E$10*B19+0.5*$E$11*B19^2</f>
        <v>312.217556445785</v>
      </c>
      <c r="F19" s="27" t="n">
        <f aca="false">0.5*$E$11*B19^2</f>
        <v>-103.40231038957</v>
      </c>
      <c r="H19" s="17" t="n">
        <f aca="false">(LN(A19/Strike_Call)+(Rate+Vol^2/2)*T_years)/(Vol*SQRT(T_years))</f>
        <v>-0.572115051095127</v>
      </c>
      <c r="I19" s="28" t="n">
        <f aca="false">A19*NORMSDIST(H19)-Strike_Call*EXP(-Rate*T_years)*NORMSDIST(H19-Vol*SQRT(T_years))</f>
        <v>179.991886222392</v>
      </c>
    </row>
    <row r="20" customFormat="false" ht="15" hidden="false" customHeight="false" outlineLevel="0" collapsed="false">
      <c r="A20" s="24" t="n">
        <v>24500</v>
      </c>
      <c r="B20" s="25" t="n">
        <f aca="false">A20-Spot</f>
        <v>-500</v>
      </c>
      <c r="C20" s="26" t="n">
        <f aca="false">$B$10*(I20-Call_Price)</f>
        <v>230.675627812723</v>
      </c>
      <c r="D20" s="27" t="n">
        <f aca="false">$E$10*B20</f>
        <v>277.07991122357</v>
      </c>
      <c r="E20" s="27" t="n">
        <f aca="false">$E$10*B20+0.5*$E$11*B20^2</f>
        <v>231.123328828206</v>
      </c>
      <c r="F20" s="27" t="n">
        <f aca="false">0.5*$E$11*B20^2</f>
        <v>-45.9565823953644</v>
      </c>
      <c r="H20" s="17" t="n">
        <f aca="false">(LN(A20/Strike_Call)+(Rate+Vol^2/2)*T_years)/(Vol*SQRT(T_years))</f>
        <v>-0.333612110906601</v>
      </c>
      <c r="I20" s="28" t="n">
        <f aca="false">A20*NORMSDIST(H20)-Strike_Call*EXP(-Rate*T_years)*NORMSDIST(H20-Vol*SQRT(T_years))</f>
        <v>261.437514296387</v>
      </c>
    </row>
    <row r="21" customFormat="false" ht="15" hidden="false" customHeight="false" outlineLevel="0" collapsed="false">
      <c r="A21" s="24" t="n">
        <v>24750</v>
      </c>
      <c r="B21" s="25" t="n">
        <f aca="false">A21-Spot</f>
        <v>-250</v>
      </c>
      <c r="C21" s="26" t="n">
        <f aca="false">$B$10*(I21-Call_Price)</f>
        <v>126.942270882366</v>
      </c>
      <c r="D21" s="27" t="n">
        <f aca="false">$E$10*B21</f>
        <v>138.539955611785</v>
      </c>
      <c r="E21" s="27" t="n">
        <f aca="false">$E$10*B21+0.5*$E$11*B21^2</f>
        <v>127.050810012944</v>
      </c>
      <c r="F21" s="27" t="n">
        <f aca="false">0.5*$E$11*B21^2</f>
        <v>-11.4891455988411</v>
      </c>
      <c r="H21" s="17" t="n">
        <f aca="false">(LN(A21/Strike_Call)+(Rate+Vol^2/2)*T_years)/(Vol*SQRT(T_years))</f>
        <v>-0.0975305621732003</v>
      </c>
      <c r="I21" s="28" t="n">
        <f aca="false">A21*NORMSDIST(H21)-Strike_Call*EXP(-Rate*T_years)*NORMSDIST(H21-Vol*SQRT(T_years))</f>
        <v>365.170871226745</v>
      </c>
    </row>
    <row r="22" customFormat="false" ht="15" hidden="false" customHeight="false" outlineLevel="0" collapsed="false">
      <c r="A22" s="24" t="n">
        <v>25000</v>
      </c>
      <c r="B22" s="25" t="n">
        <f aca="false">A22-Spot</f>
        <v>0</v>
      </c>
      <c r="C22" s="26" t="n">
        <f aca="false">$B$10*(I22-Call_Price)</f>
        <v>-0</v>
      </c>
      <c r="D22" s="27" t="n">
        <f aca="false">$E$10*B22</f>
        <v>-0</v>
      </c>
      <c r="E22" s="27" t="n">
        <f aca="false">$E$10*B22+0.5*$E$11*B22^2</f>
        <v>-0</v>
      </c>
      <c r="F22" s="27" t="n">
        <f aca="false">0.5*$E$11*B22^2</f>
        <v>-0</v>
      </c>
      <c r="H22" s="17" t="n">
        <f aca="false">(LN(A22/Strike_Call)+(Rate+Vol^2/2)*T_years)/(Vol*SQRT(T_years))</f>
        <v>0.136178267531737</v>
      </c>
      <c r="I22" s="28" t="n">
        <f aca="false">A22*NORMSDIST(H22)-Strike_Call*EXP(-Rate*T_years)*NORMSDIST(H22-Vol*SQRT(T_years))</f>
        <v>492.11314210911</v>
      </c>
    </row>
    <row r="23" customFormat="false" ht="15" hidden="false" customHeight="false" outlineLevel="0" collapsed="false">
      <c r="A23" s="24" t="n">
        <v>25250</v>
      </c>
      <c r="B23" s="25" t="n">
        <f aca="false">A23-Spot</f>
        <v>250</v>
      </c>
      <c r="C23" s="26" t="n">
        <f aca="false">$B$10*(I23-Call_Price)</f>
        <v>-149.821633012958</v>
      </c>
      <c r="D23" s="27" t="n">
        <f aca="false">$E$10*B23</f>
        <v>-138.539955611785</v>
      </c>
      <c r="E23" s="27" t="n">
        <f aca="false">$E$10*B23+0.5*$E$11*B23^2</f>
        <v>-150.029101210626</v>
      </c>
      <c r="F23" s="27" t="n">
        <f aca="false">0.5*$E$11*B23^2</f>
        <v>-11.4891455988411</v>
      </c>
      <c r="H23" s="17" t="n">
        <f aca="false">(LN(A23/Strike_Call)+(Rate+Vol^2/2)*T_years)/(Vol*SQRT(T_years))</f>
        <v>0.367561597677929</v>
      </c>
      <c r="I23" s="28" t="n">
        <f aca="false">A23*NORMSDIST(H23)-Strike_Call*EXP(-Rate*T_years)*NORMSDIST(H23-Vol*SQRT(T_years))</f>
        <v>641.934775122069</v>
      </c>
    </row>
    <row r="24" customFormat="false" ht="15" hidden="false" customHeight="false" outlineLevel="0" collapsed="false">
      <c r="A24" s="24" t="n">
        <v>25500</v>
      </c>
      <c r="B24" s="25" t="n">
        <f aca="false">A24-Spot</f>
        <v>500</v>
      </c>
      <c r="C24" s="26" t="n">
        <f aca="false">$B$10*(I24-Call_Price)</f>
        <v>-321.029193433524</v>
      </c>
      <c r="D24" s="27" t="n">
        <f aca="false">$E$10*B24</f>
        <v>-277.07991122357</v>
      </c>
      <c r="E24" s="27" t="n">
        <f aca="false">$E$10*B24+0.5*$E$11*B24^2</f>
        <v>-323.036493618935</v>
      </c>
      <c r="F24" s="27" t="n">
        <f aca="false">0.5*$E$11*B24^2</f>
        <v>-45.9565823953644</v>
      </c>
      <c r="H24" s="17" t="n">
        <f aca="false">(LN(A24/Strike_Call)+(Rate+Vol^2/2)*T_years)/(Vol*SQRT(T_years))</f>
        <v>0.596665252039904</v>
      </c>
      <c r="I24" s="28" t="n">
        <f aca="false">A24*NORMSDIST(H24)-Strike_Call*EXP(-Rate*T_years)*NORMSDIST(H24-Vol*SQRT(T_years))</f>
        <v>813.142335542634</v>
      </c>
    </row>
    <row r="25" customFormat="false" ht="15" hidden="false" customHeight="true" outlineLevel="0" collapsed="false">
      <c r="A25" s="24" t="n">
        <v>25750</v>
      </c>
      <c r="B25" s="25" t="n">
        <f aca="false">A25-Spot</f>
        <v>750</v>
      </c>
      <c r="C25" s="26" t="n">
        <f aca="false">$B$10*(I25-Call_Price)</f>
        <v>-511.220328519286</v>
      </c>
      <c r="D25" s="27" t="n">
        <f aca="false">$E$10*B25</f>
        <v>-415.619866835355</v>
      </c>
      <c r="E25" s="27" t="n">
        <f aca="false">$E$10*B25+0.5*$E$11*B25^2</f>
        <v>-519.022177224925</v>
      </c>
      <c r="F25" s="27" t="n">
        <f aca="false">0.5*$E$11*B25^2</f>
        <v>-103.40231038957</v>
      </c>
      <c r="H25" s="17" t="n">
        <f aca="false">(LN(A25/Strike_Call)+(Rate+Vol^2/2)*T_years)/(Vol*SQRT(T_years))</f>
        <v>0.823533713165354</v>
      </c>
      <c r="I25" s="28" t="n">
        <f aca="false">A25*NORMSDIST(H25)-Strike_Call*EXP(-Rate*T_years)*NORMSDIST(H25-Vol*SQRT(T_years))</f>
        <v>1003.3334706284</v>
      </c>
      <c r="K25" s="11" t="s">
        <v>101</v>
      </c>
      <c r="L25" s="11"/>
      <c r="M25" s="11"/>
      <c r="N25" s="11"/>
      <c r="O25" s="11"/>
      <c r="P25" s="11"/>
      <c r="Q25" s="11"/>
      <c r="R25" s="11"/>
    </row>
    <row r="26" customFormat="false" ht="15" hidden="false" customHeight="false" outlineLevel="0" collapsed="false">
      <c r="A26" s="24" t="n">
        <v>26000</v>
      </c>
      <c r="B26" s="25" t="n">
        <f aca="false">A26-Spot</f>
        <v>1000</v>
      </c>
      <c r="C26" s="26" t="n">
        <f aca="false">$B$10*(I26-Call_Price)</f>
        <v>-717.438048171201</v>
      </c>
      <c r="D26" s="27" t="n">
        <f aca="false">$E$10*B26</f>
        <v>-554.15982244714</v>
      </c>
      <c r="E26" s="27" t="n">
        <f aca="false">$E$10*B26+0.5*$E$11*B26^2</f>
        <v>-737.986152028598</v>
      </c>
      <c r="F26" s="27" t="n">
        <f aca="false">0.5*$E$11*B26^2</f>
        <v>-183.826329581458</v>
      </c>
      <c r="H26" s="17" t="n">
        <f aca="false">(LN(A26/Strike_Call)+(Rate+Vol^2/2)*T_years)/(Vol*SQRT(T_years))</f>
        <v>1.04821017421205</v>
      </c>
      <c r="I26" s="28" t="n">
        <f aca="false">A26*NORMSDIST(H26)-Strike_Call*EXP(-Rate*T_years)*NORMSDIST(H26-Vol*SQRT(T_years))</f>
        <v>1209.55119028031</v>
      </c>
      <c r="K26" s="11"/>
      <c r="L26" s="11"/>
      <c r="M26" s="11"/>
      <c r="N26" s="11"/>
      <c r="O26" s="11"/>
      <c r="P26" s="11"/>
      <c r="Q26" s="11"/>
      <c r="R26" s="11"/>
    </row>
    <row r="27" customFormat="false" ht="15" hidden="false" customHeight="false" outlineLevel="0" collapsed="false">
      <c r="A27" s="24" t="n">
        <v>26250</v>
      </c>
      <c r="B27" s="25" t="n">
        <f aca="false">A27-Spot</f>
        <v>1250</v>
      </c>
      <c r="C27" s="26" t="n">
        <f aca="false">$B$10*(I27-Call_Price)</f>
        <v>-936.542478496174</v>
      </c>
      <c r="D27" s="27" t="n">
        <f aca="false">$E$10*B27</f>
        <v>-692.699778058925</v>
      </c>
      <c r="E27" s="27" t="n">
        <f aca="false">$E$10*B27+0.5*$E$11*B27^2</f>
        <v>-979.928418029953</v>
      </c>
      <c r="F27" s="27" t="n">
        <f aca="false">0.5*$E$11*B27^2</f>
        <v>-287.228639971027</v>
      </c>
      <c r="H27" s="17" t="n">
        <f aca="false">(LN(A27/Strike_Call)+(Rate+Vol^2/2)*T_years)/(Vol*SQRT(T_years))</f>
        <v>1.27073658830438</v>
      </c>
      <c r="I27" s="28" t="n">
        <f aca="false">A27*NORMSDIST(H27)-Strike_Call*EXP(-Rate*T_years)*NORMSDIST(H27-Vol*SQRT(T_years))</f>
        <v>1428.65562060528</v>
      </c>
      <c r="K27" s="11"/>
      <c r="L27" s="11"/>
      <c r="M27" s="11"/>
      <c r="N27" s="11"/>
      <c r="O27" s="11"/>
      <c r="P27" s="11"/>
      <c r="Q27" s="11"/>
      <c r="R27" s="11"/>
    </row>
    <row r="28" customFormat="false" ht="15" hidden="false" customHeight="false" outlineLevel="0" collapsed="false">
      <c r="A28" s="24" t="n">
        <v>26500</v>
      </c>
      <c r="B28" s="25" t="n">
        <f aca="false">A28-Spot</f>
        <v>1500</v>
      </c>
      <c r="C28" s="26" t="n">
        <f aca="false">$B$10*(I28-Call_Price)</f>
        <v>-1165.52982134648</v>
      </c>
      <c r="D28" s="27" t="n">
        <f aca="false">$E$10*B28</f>
        <v>-831.239733670711</v>
      </c>
      <c r="E28" s="27" t="n">
        <f aca="false">$E$10*B28+0.5*$E$11*B28^2</f>
        <v>-1244.84897522899</v>
      </c>
      <c r="F28" s="27" t="n">
        <f aca="false">0.5*$E$11*B28^2</f>
        <v>-413.609241558279</v>
      </c>
      <c r="H28" s="17" t="n">
        <f aca="false">(LN(A28/Strike_Call)+(Rate+Vol^2/2)*T_years)/(Vol*SQRT(T_years))</f>
        <v>1.49115371555067</v>
      </c>
      <c r="I28" s="28" t="n">
        <f aca="false">A28*NORMSDIST(H28)-Strike_Call*EXP(-Rate*T_years)*NORMSDIST(H28-Vol*SQRT(T_years))</f>
        <v>1657.64296345559</v>
      </c>
      <c r="K28" s="11"/>
      <c r="L28" s="11"/>
      <c r="M28" s="11"/>
      <c r="N28" s="11"/>
      <c r="O28" s="11"/>
      <c r="P28" s="11"/>
      <c r="Q28" s="11"/>
      <c r="R28" s="11"/>
    </row>
    <row r="29" customFormat="false" ht="15" hidden="false" customHeight="false" outlineLevel="0" collapsed="false">
      <c r="A29" s="24" t="n">
        <v>26750</v>
      </c>
      <c r="B29" s="25" t="n">
        <f aca="false">A29-Spot</f>
        <v>1750</v>
      </c>
      <c r="C29" s="26" t="n">
        <f aca="false">$B$10*(I29-Call_Price)</f>
        <v>-1401.7557341599</v>
      </c>
      <c r="D29" s="27" t="n">
        <f aca="false">$E$10*B29</f>
        <v>-969.779689282496</v>
      </c>
      <c r="E29" s="27" t="n">
        <f aca="false">$E$10*B29+0.5*$E$11*B29^2</f>
        <v>-1532.74782362571</v>
      </c>
      <c r="F29" s="27" t="n">
        <f aca="false">0.5*$E$11*B29^2</f>
        <v>-562.968134343214</v>
      </c>
      <c r="H29" s="17" t="n">
        <f aca="false">(LN(A29/Strike_Call)+(Rate+Vol^2/2)*T_years)/(Vol*SQRT(T_years))</f>
        <v>1.70950116785293</v>
      </c>
      <c r="I29" s="28" t="n">
        <f aca="false">A29*NORMSDIST(H29)-Strike_Call*EXP(-Rate*T_years)*NORMSDIST(H29-Vol*SQRT(T_years))</f>
        <v>1893.86887626901</v>
      </c>
      <c r="K29" s="11"/>
      <c r="L29" s="11"/>
      <c r="M29" s="11"/>
      <c r="N29" s="11"/>
      <c r="O29" s="11"/>
      <c r="P29" s="11"/>
      <c r="Q29" s="11"/>
      <c r="R29" s="11"/>
    </row>
    <row r="30" customFormat="false" ht="15" hidden="false" customHeight="false" outlineLevel="0" collapsed="false">
      <c r="A30" s="24" t="n">
        <v>27000</v>
      </c>
      <c r="B30" s="25" t="n">
        <f aca="false">A30-Spot</f>
        <v>2000</v>
      </c>
      <c r="C30" s="26" t="n">
        <f aca="false">$B$10*(I30-Call_Price)</f>
        <v>-1643.05166018763</v>
      </c>
      <c r="D30" s="27" t="n">
        <f aca="false">$E$10*B30</f>
        <v>-1108.31964489428</v>
      </c>
      <c r="E30" s="27" t="n">
        <f aca="false">$E$10*B30+0.5*$E$11*B30^2</f>
        <v>-1843.62496322011</v>
      </c>
      <c r="F30" s="27" t="n">
        <f aca="false">0.5*$E$11*B30^2</f>
        <v>-735.30531832583</v>
      </c>
      <c r="H30" s="17" t="n">
        <f aca="false">(LN(A30/Strike_Call)+(Rate+Vol^2/2)*T_years)/(Vol*SQRT(T_years))</f>
        <v>1.92581745163241</v>
      </c>
      <c r="I30" s="28" t="n">
        <f aca="false">A30*NORMSDIST(H30)-Strike_Call*EXP(-Rate*T_years)*NORMSDIST(H30-Vol*SQRT(T_years))</f>
        <v>2135.16480229674</v>
      </c>
      <c r="K30" s="11"/>
      <c r="L30" s="11"/>
      <c r="M30" s="11"/>
      <c r="N30" s="11"/>
      <c r="O30" s="11"/>
      <c r="P30" s="11"/>
      <c r="Q30" s="11"/>
      <c r="R30" s="11"/>
    </row>
  </sheetData>
  <mergeCells count="3">
    <mergeCell ref="A4:F7"/>
    <mergeCell ref="A8:F8"/>
    <mergeCell ref="K25:R30"/>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70AD47"/>
    <pageSetUpPr fitToPage="false"/>
  </sheetPr>
  <dimension ref="A1:E26"/>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16"/>
    <col collapsed="false" customWidth="true" hidden="false" outlineLevel="0" max="5" min="2" style="0" width="20"/>
  </cols>
  <sheetData>
    <row r="1" customFormat="false" ht="22.05" hidden="false" customHeight="false" outlineLevel="0" collapsed="false">
      <c r="A1" s="1" t="s">
        <v>102</v>
      </c>
    </row>
    <row r="2" customFormat="false" ht="15" hidden="false" customHeight="false" outlineLevel="0" collapsed="false">
      <c r="A2" s="2" t="s">
        <v>103</v>
      </c>
    </row>
    <row r="4" customFormat="false" ht="21.75" hidden="false" customHeight="true" outlineLevel="0" collapsed="false">
      <c r="A4" s="11" t="s">
        <v>104</v>
      </c>
      <c r="B4" s="11"/>
      <c r="C4" s="11"/>
      <c r="D4" s="11"/>
      <c r="E4" s="11"/>
    </row>
    <row r="5" customFormat="false" ht="21.75" hidden="false" customHeight="true" outlineLevel="0" collapsed="false">
      <c r="A5" s="11"/>
      <c r="B5" s="11"/>
      <c r="C5" s="11"/>
      <c r="D5" s="11"/>
      <c r="E5" s="11"/>
    </row>
    <row r="6" customFormat="false" ht="21.75" hidden="false" customHeight="true" outlineLevel="0" collapsed="false">
      <c r="A6" s="11"/>
      <c r="B6" s="11"/>
      <c r="C6" s="11"/>
      <c r="D6" s="11"/>
      <c r="E6" s="11"/>
    </row>
    <row r="7" customFormat="false" ht="21.75" hidden="false" customHeight="true" outlineLevel="0" collapsed="false">
      <c r="A7" s="11"/>
      <c r="B7" s="11"/>
      <c r="C7" s="11"/>
      <c r="D7" s="11"/>
      <c r="E7" s="11"/>
    </row>
    <row r="9" customFormat="false" ht="31.5" hidden="false" customHeight="true" outlineLevel="0" collapsed="false">
      <c r="A9" s="12" t="s">
        <v>90</v>
      </c>
      <c r="B9" s="12" t="s">
        <v>105</v>
      </c>
      <c r="C9" s="12" t="s">
        <v>106</v>
      </c>
      <c r="D9" s="12" t="s">
        <v>107</v>
      </c>
      <c r="E9" s="12" t="s">
        <v>108</v>
      </c>
    </row>
    <row r="10" customFormat="false" ht="15" hidden="false" customHeight="false" outlineLevel="0" collapsed="false">
      <c r="A10" s="29" t="n">
        <f aca="false">2_Buy_Put!A14</f>
        <v>23000</v>
      </c>
      <c r="B10" s="30" t="n">
        <f aca="false">2_Buy_Put!C14</f>
        <v>1521.69573442598</v>
      </c>
      <c r="C10" s="30" t="n">
        <f aca="false">3_Sell_Call!C14</f>
        <v>478.304265574026</v>
      </c>
      <c r="D10" s="30" t="n">
        <f aca="false">2_Buy_Put!F14</f>
        <v>735.30531832583</v>
      </c>
      <c r="E10" s="30" t="n">
        <f aca="false">3_Sell_Call!F14</f>
        <v>-735.30531832583</v>
      </c>
    </row>
    <row r="11" customFormat="false" ht="15" hidden="false" customHeight="false" outlineLevel="0" collapsed="false">
      <c r="A11" s="29" t="n">
        <f aca="false">2_Buy_Put!A15</f>
        <v>23250</v>
      </c>
      <c r="B11" s="30" t="n">
        <f aca="false">2_Buy_Put!C15</f>
        <v>1283.5004001141</v>
      </c>
      <c r="C11" s="30" t="n">
        <f aca="false">3_Sell_Call!C15</f>
        <v>466.499599885907</v>
      </c>
      <c r="D11" s="30" t="n">
        <f aca="false">2_Buy_Put!F15</f>
        <v>562.968134343214</v>
      </c>
      <c r="E11" s="30" t="n">
        <f aca="false">3_Sell_Call!F15</f>
        <v>-562.968134343214</v>
      </c>
    </row>
    <row r="12" customFormat="false" ht="15" hidden="false" customHeight="false" outlineLevel="0" collapsed="false">
      <c r="A12" s="29" t="n">
        <f aca="false">2_Buy_Put!A16</f>
        <v>23500</v>
      </c>
      <c r="B12" s="30" t="n">
        <f aca="false">2_Buy_Put!C16</f>
        <v>1052.83774822438</v>
      </c>
      <c r="C12" s="30" t="n">
        <f aca="false">3_Sell_Call!C16</f>
        <v>447.162251775622</v>
      </c>
      <c r="D12" s="30" t="n">
        <f aca="false">2_Buy_Put!F16</f>
        <v>413.609241558279</v>
      </c>
      <c r="E12" s="30" t="n">
        <f aca="false">3_Sell_Call!F16</f>
        <v>-413.609241558279</v>
      </c>
    </row>
    <row r="13" customFormat="false" ht="15" hidden="false" customHeight="false" outlineLevel="0" collapsed="false">
      <c r="A13" s="29" t="n">
        <f aca="false">2_Buy_Put!A17</f>
        <v>23750</v>
      </c>
      <c r="B13" s="30" t="n">
        <f aca="false">2_Buy_Put!C17</f>
        <v>832.765087159536</v>
      </c>
      <c r="C13" s="30" t="n">
        <f aca="false">3_Sell_Call!C17</f>
        <v>417.234912840468</v>
      </c>
      <c r="D13" s="30" t="n">
        <f aca="false">2_Buy_Put!F17</f>
        <v>287.228639971027</v>
      </c>
      <c r="E13" s="30" t="n">
        <f aca="false">3_Sell_Call!F17</f>
        <v>-287.228639971027</v>
      </c>
    </row>
    <row r="14" customFormat="false" ht="15" hidden="false" customHeight="false" outlineLevel="0" collapsed="false">
      <c r="A14" s="29" t="n">
        <f aca="false">2_Buy_Put!A18</f>
        <v>24000</v>
      </c>
      <c r="B14" s="30" t="n">
        <f aca="false">2_Buy_Put!C18</f>
        <v>626.661280282271</v>
      </c>
      <c r="C14" s="30" t="n">
        <f aca="false">3_Sell_Call!C18</f>
        <v>373.33871971773</v>
      </c>
      <c r="D14" s="30" t="n">
        <f aca="false">2_Buy_Put!F18</f>
        <v>183.826329581458</v>
      </c>
      <c r="E14" s="30" t="n">
        <f aca="false">3_Sell_Call!F18</f>
        <v>-183.826329581458</v>
      </c>
    </row>
    <row r="15" customFormat="false" ht="15" hidden="false" customHeight="false" outlineLevel="0" collapsed="false">
      <c r="A15" s="29" t="n">
        <f aca="false">2_Buy_Put!A19</f>
        <v>24250</v>
      </c>
      <c r="B15" s="30" t="n">
        <f aca="false">2_Buy_Put!C19</f>
        <v>437.878744113285</v>
      </c>
      <c r="C15" s="30" t="n">
        <f aca="false">3_Sell_Call!C19</f>
        <v>312.121255886718</v>
      </c>
      <c r="D15" s="30" t="n">
        <f aca="false">2_Buy_Put!F19</f>
        <v>103.40231038957</v>
      </c>
      <c r="E15" s="30" t="n">
        <f aca="false">3_Sell_Call!F19</f>
        <v>-103.40231038957</v>
      </c>
    </row>
    <row r="16" customFormat="false" ht="15" hidden="false" customHeight="false" outlineLevel="0" collapsed="false">
      <c r="A16" s="29" t="n">
        <f aca="false">2_Buy_Put!A20</f>
        <v>24500</v>
      </c>
      <c r="B16" s="30" t="n">
        <f aca="false">2_Buy_Put!C20</f>
        <v>269.324372187279</v>
      </c>
      <c r="C16" s="30" t="n">
        <f aca="false">3_Sell_Call!C20</f>
        <v>230.675627812723</v>
      </c>
      <c r="D16" s="30" t="n">
        <f aca="false">2_Buy_Put!F20</f>
        <v>45.9565823953644</v>
      </c>
      <c r="E16" s="30" t="n">
        <f aca="false">3_Sell_Call!F20</f>
        <v>-45.9565823953644</v>
      </c>
    </row>
    <row r="17" customFormat="false" ht="15" hidden="false" customHeight="false" outlineLevel="0" collapsed="false">
      <c r="A17" s="29" t="n">
        <f aca="false">2_Buy_Put!A21</f>
        <v>24750</v>
      </c>
      <c r="B17" s="30" t="n">
        <f aca="false">2_Buy_Put!C21</f>
        <v>123.057729117636</v>
      </c>
      <c r="C17" s="30" t="n">
        <f aca="false">3_Sell_Call!C21</f>
        <v>126.942270882366</v>
      </c>
      <c r="D17" s="30" t="n">
        <f aca="false">2_Buy_Put!F21</f>
        <v>11.4891455988411</v>
      </c>
      <c r="E17" s="30" t="n">
        <f aca="false">3_Sell_Call!F21</f>
        <v>-11.4891455988411</v>
      </c>
    </row>
    <row r="18" customFormat="false" ht="15" hidden="false" customHeight="false" outlineLevel="0" collapsed="false">
      <c r="A18" s="29" t="n">
        <f aca="false">2_Buy_Put!A22</f>
        <v>25000</v>
      </c>
      <c r="B18" s="30" t="n">
        <f aca="false">2_Buy_Put!C22</f>
        <v>0</v>
      </c>
      <c r="C18" s="30" t="n">
        <f aca="false">3_Sell_Call!C22</f>
        <v>-0</v>
      </c>
      <c r="D18" s="30" t="n">
        <f aca="false">2_Buy_Put!F22</f>
        <v>0</v>
      </c>
      <c r="E18" s="30" t="n">
        <f aca="false">3_Sell_Call!F22</f>
        <v>-0</v>
      </c>
    </row>
    <row r="19" customFormat="false" ht="15" hidden="false" customHeight="false" outlineLevel="0" collapsed="false">
      <c r="A19" s="29" t="n">
        <f aca="false">2_Buy_Put!A23</f>
        <v>25250</v>
      </c>
      <c r="B19" s="30" t="n">
        <f aca="false">2_Buy_Put!C23</f>
        <v>-100.17836698704</v>
      </c>
      <c r="C19" s="30" t="n">
        <f aca="false">3_Sell_Call!C23</f>
        <v>-149.821633012958</v>
      </c>
      <c r="D19" s="30" t="n">
        <f aca="false">2_Buy_Put!F23</f>
        <v>11.4891455988411</v>
      </c>
      <c r="E19" s="30" t="n">
        <f aca="false">3_Sell_Call!F23</f>
        <v>-11.4891455988411</v>
      </c>
    </row>
    <row r="20" customFormat="false" ht="15" hidden="false" customHeight="false" outlineLevel="0" collapsed="false">
      <c r="A20" s="29" t="n">
        <f aca="false">2_Buy_Put!A24</f>
        <v>25500</v>
      </c>
      <c r="B20" s="30" t="n">
        <f aca="false">2_Buy_Put!C24</f>
        <v>-178.970806566476</v>
      </c>
      <c r="C20" s="30" t="n">
        <f aca="false">3_Sell_Call!C24</f>
        <v>-321.029193433524</v>
      </c>
      <c r="D20" s="30" t="n">
        <f aca="false">2_Buy_Put!F24</f>
        <v>45.9565823953644</v>
      </c>
      <c r="E20" s="30" t="n">
        <f aca="false">3_Sell_Call!F24</f>
        <v>-45.9565823953644</v>
      </c>
    </row>
    <row r="21" customFormat="false" ht="15" hidden="false" customHeight="false" outlineLevel="0" collapsed="false">
      <c r="A21" s="29" t="n">
        <f aca="false">2_Buy_Put!A25</f>
        <v>25750</v>
      </c>
      <c r="B21" s="30" t="n">
        <f aca="false">2_Buy_Put!C25</f>
        <v>-238.779671480715</v>
      </c>
      <c r="C21" s="30" t="n">
        <f aca="false">3_Sell_Call!C25</f>
        <v>-511.220328519286</v>
      </c>
      <c r="D21" s="30" t="n">
        <f aca="false">2_Buy_Put!F25</f>
        <v>103.40231038957</v>
      </c>
      <c r="E21" s="30" t="n">
        <f aca="false">3_Sell_Call!F25</f>
        <v>-103.40231038957</v>
      </c>
    </row>
    <row r="22" customFormat="false" ht="15" hidden="false" customHeight="false" outlineLevel="0" collapsed="false">
      <c r="A22" s="29" t="n">
        <f aca="false">2_Buy_Put!A26</f>
        <v>26000</v>
      </c>
      <c r="B22" s="30" t="n">
        <f aca="false">2_Buy_Put!C26</f>
        <v>-282.561951828798</v>
      </c>
      <c r="C22" s="30" t="n">
        <f aca="false">3_Sell_Call!C26</f>
        <v>-717.438048171201</v>
      </c>
      <c r="D22" s="30" t="n">
        <f aca="false">2_Buy_Put!F26</f>
        <v>183.826329581458</v>
      </c>
      <c r="E22" s="30" t="n">
        <f aca="false">3_Sell_Call!F26</f>
        <v>-183.826329581458</v>
      </c>
    </row>
    <row r="23" customFormat="false" ht="15" hidden="false" customHeight="false" outlineLevel="0" collapsed="false">
      <c r="A23" s="29" t="n">
        <f aca="false">2_Buy_Put!A27</f>
        <v>26250</v>
      </c>
      <c r="B23" s="30" t="n">
        <f aca="false">2_Buy_Put!C27</f>
        <v>-313.457521503825</v>
      </c>
      <c r="C23" s="30" t="n">
        <f aca="false">3_Sell_Call!C27</f>
        <v>-936.542478496174</v>
      </c>
      <c r="D23" s="30" t="n">
        <f aca="false">2_Buy_Put!F27</f>
        <v>287.228639971027</v>
      </c>
      <c r="E23" s="30" t="n">
        <f aca="false">3_Sell_Call!F27</f>
        <v>-287.228639971027</v>
      </c>
    </row>
    <row r="24" customFormat="false" ht="15" hidden="false" customHeight="false" outlineLevel="0" collapsed="false">
      <c r="A24" s="29" t="n">
        <f aca="false">2_Buy_Put!A28</f>
        <v>26500</v>
      </c>
      <c r="B24" s="30" t="n">
        <f aca="false">2_Buy_Put!C28</f>
        <v>-334.470178653522</v>
      </c>
      <c r="C24" s="30" t="n">
        <f aca="false">3_Sell_Call!C28</f>
        <v>-1165.52982134648</v>
      </c>
      <c r="D24" s="30" t="n">
        <f aca="false">2_Buy_Put!F28</f>
        <v>413.609241558279</v>
      </c>
      <c r="E24" s="30" t="n">
        <f aca="false">3_Sell_Call!F28</f>
        <v>-413.609241558279</v>
      </c>
    </row>
    <row r="25" customFormat="false" ht="15" hidden="false" customHeight="false" outlineLevel="0" collapsed="false">
      <c r="A25" s="29" t="n">
        <f aca="false">2_Buy_Put!A29</f>
        <v>26750</v>
      </c>
      <c r="B25" s="30" t="n">
        <f aca="false">2_Buy_Put!C29</f>
        <v>-348.244265840105</v>
      </c>
      <c r="C25" s="30" t="n">
        <f aca="false">3_Sell_Call!C29</f>
        <v>-1401.7557341599</v>
      </c>
      <c r="D25" s="30" t="n">
        <f aca="false">2_Buy_Put!F29</f>
        <v>562.968134343214</v>
      </c>
      <c r="E25" s="30" t="n">
        <f aca="false">3_Sell_Call!F29</f>
        <v>-562.968134343214</v>
      </c>
    </row>
    <row r="26" customFormat="false" ht="15" hidden="false" customHeight="false" outlineLevel="0" collapsed="false">
      <c r="A26" s="29" t="n">
        <f aca="false">2_Buy_Put!A30</f>
        <v>27000</v>
      </c>
      <c r="B26" s="30" t="n">
        <f aca="false">2_Buy_Put!C30</f>
        <v>-356.948339812372</v>
      </c>
      <c r="C26" s="30" t="n">
        <f aca="false">3_Sell_Call!C30</f>
        <v>-1643.05166018763</v>
      </c>
      <c r="D26" s="30" t="n">
        <f aca="false">2_Buy_Put!F30</f>
        <v>735.30531832583</v>
      </c>
      <c r="E26" s="30" t="n">
        <f aca="false">3_Sell_Call!F30</f>
        <v>-735.30531832583</v>
      </c>
    </row>
  </sheetData>
  <mergeCells count="1">
    <mergeCell ref="A4:E7"/>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70AD47"/>
    <pageSetUpPr fitToPage="false"/>
  </sheetPr>
  <dimension ref="A1:E28"/>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2"/>
    <col collapsed="false" customWidth="true" hidden="false" outlineLevel="0" max="2" min="2" style="0" width="18"/>
    <col collapsed="false" customWidth="true" hidden="false" outlineLevel="0" max="5" min="3" style="0" width="20"/>
  </cols>
  <sheetData>
    <row r="1" customFormat="false" ht="22.05" hidden="false" customHeight="false" outlineLevel="0" collapsed="false">
      <c r="A1" s="1" t="s">
        <v>109</v>
      </c>
    </row>
    <row r="2" customFormat="false" ht="15" hidden="false" customHeight="false" outlineLevel="0" collapsed="false">
      <c r="A2" s="2" t="s">
        <v>110</v>
      </c>
    </row>
    <row r="4" customFormat="false" ht="24" hidden="false" customHeight="true" outlineLevel="0" collapsed="false">
      <c r="A4" s="11" t="s">
        <v>111</v>
      </c>
      <c r="B4" s="11"/>
      <c r="C4" s="11"/>
      <c r="D4" s="11"/>
      <c r="E4" s="11"/>
    </row>
    <row r="5" customFormat="false" ht="24" hidden="false" customHeight="true" outlineLevel="0" collapsed="false">
      <c r="A5" s="11"/>
      <c r="B5" s="11"/>
      <c r="C5" s="11"/>
      <c r="D5" s="11"/>
      <c r="E5" s="11"/>
    </row>
    <row r="6" customFormat="false" ht="24" hidden="false" customHeight="true" outlineLevel="0" collapsed="false">
      <c r="A6" s="11"/>
      <c r="B6" s="11"/>
      <c r="C6" s="11"/>
      <c r="D6" s="11"/>
      <c r="E6" s="11"/>
    </row>
    <row r="7" customFormat="false" ht="24" hidden="false" customHeight="true" outlineLevel="0" collapsed="false">
      <c r="A7" s="11"/>
      <c r="B7" s="11"/>
      <c r="C7" s="11"/>
      <c r="D7" s="11"/>
      <c r="E7" s="11"/>
    </row>
    <row r="8" customFormat="false" ht="24" hidden="false" customHeight="true" outlineLevel="0" collapsed="false">
      <c r="A8" s="11"/>
      <c r="B8" s="11"/>
      <c r="C8" s="11"/>
      <c r="D8" s="11"/>
      <c r="E8" s="11"/>
    </row>
    <row r="9" customFormat="false" ht="26.85" hidden="false" customHeight="true" outlineLevel="0" collapsed="false">
      <c r="A9" s="21" t="s">
        <v>112</v>
      </c>
      <c r="B9" s="21"/>
      <c r="C9" s="21"/>
      <c r="D9" s="21"/>
      <c r="E9" s="21"/>
    </row>
    <row r="11" customFormat="false" ht="15" hidden="false" customHeight="false" outlineLevel="0" collapsed="false">
      <c r="A11" s="4" t="s">
        <v>113</v>
      </c>
      <c r="B11" s="31" t="n">
        <f aca="false">-(Call_Gamma+Put_Gamma)</f>
        <v>-0.00073530531832583</v>
      </c>
      <c r="C11" s="32" t="s">
        <v>114</v>
      </c>
      <c r="D11" s="32"/>
      <c r="E11" s="32"/>
    </row>
    <row r="12" customFormat="false" ht="15" hidden="false" customHeight="false" outlineLevel="0" collapsed="false">
      <c r="A12" s="4" t="s">
        <v>115</v>
      </c>
      <c r="B12" s="33" t="n">
        <f aca="false">-(Call_Theta+Put_Theta)</f>
        <v>14.468275233335</v>
      </c>
      <c r="C12" s="32" t="s">
        <v>116</v>
      </c>
      <c r="D12" s="32"/>
      <c r="E12" s="32"/>
    </row>
    <row r="13" customFormat="false" ht="15" hidden="false" customHeight="false" outlineLevel="0" collapsed="false">
      <c r="A13" s="4" t="s">
        <v>117</v>
      </c>
      <c r="B13" s="34" t="n">
        <f aca="false">SQRT(2*B12/-B11)</f>
        <v>198.376180958764</v>
      </c>
      <c r="C13" s="32" t="s">
        <v>118</v>
      </c>
      <c r="D13" s="32"/>
      <c r="E13" s="32"/>
    </row>
    <row r="14" customFormat="false" ht="15" hidden="false" customHeight="false" outlineLevel="0" collapsed="false">
      <c r="A14" s="4" t="s">
        <v>119</v>
      </c>
      <c r="B14" s="35" t="n">
        <f aca="false">B13/Spot</f>
        <v>0.00793504723835056</v>
      </c>
      <c r="C14" s="32" t="s">
        <v>120</v>
      </c>
      <c r="D14" s="32"/>
      <c r="E14" s="32"/>
    </row>
    <row r="15" customFormat="false" ht="15" hidden="false" customHeight="false" outlineLevel="0" collapsed="false">
      <c r="A15" s="4" t="s">
        <v>121</v>
      </c>
      <c r="B15" s="35" t="n">
        <f aca="false">Vol/SQRT(365)</f>
        <v>0.00785135883885321</v>
      </c>
      <c r="C15" s="32" t="s">
        <v>122</v>
      </c>
      <c r="D15" s="32"/>
      <c r="E15" s="32"/>
    </row>
    <row r="17" customFormat="false" ht="31.5" hidden="false" customHeight="true" outlineLevel="0" collapsed="false">
      <c r="A17" s="12" t="s">
        <v>123</v>
      </c>
      <c r="B17" s="12" t="s">
        <v>124</v>
      </c>
      <c r="C17" s="12" t="s">
        <v>125</v>
      </c>
      <c r="D17" s="12" t="s">
        <v>126</v>
      </c>
      <c r="E17" s="12" t="s">
        <v>127</v>
      </c>
    </row>
    <row r="18" customFormat="false" ht="15" hidden="false" customHeight="false" outlineLevel="0" collapsed="false">
      <c r="A18" s="36" t="n">
        <v>0</v>
      </c>
      <c r="B18" s="37" t="n">
        <f aca="false">A18*Spot</f>
        <v>0</v>
      </c>
      <c r="C18" s="27" t="n">
        <f aca="false">0.5*$B$11*B18^2</f>
        <v>-0</v>
      </c>
      <c r="D18" s="27" t="n">
        <f aca="false">$B$12</f>
        <v>14.468275233335</v>
      </c>
      <c r="E18" s="26" t="n">
        <f aca="false">C18+D18</f>
        <v>14.468275233335</v>
      </c>
    </row>
    <row r="19" customFormat="false" ht="15" hidden="false" customHeight="false" outlineLevel="0" collapsed="false">
      <c r="A19" s="36" t="n">
        <v>0.0025</v>
      </c>
      <c r="B19" s="37" t="n">
        <f aca="false">A19*Spot</f>
        <v>62.5</v>
      </c>
      <c r="C19" s="27" t="n">
        <f aca="false">0.5*$B$11*B19^2</f>
        <v>-1.43614319985514</v>
      </c>
      <c r="D19" s="27" t="n">
        <f aca="false">$B$12</f>
        <v>14.468275233335</v>
      </c>
      <c r="E19" s="26" t="n">
        <f aca="false">C19+D19</f>
        <v>13.0321320334799</v>
      </c>
    </row>
    <row r="20" customFormat="false" ht="15" hidden="false" customHeight="false" outlineLevel="0" collapsed="false">
      <c r="A20" s="36" t="n">
        <v>0.005</v>
      </c>
      <c r="B20" s="37" t="n">
        <f aca="false">A20*Spot</f>
        <v>125</v>
      </c>
      <c r="C20" s="27" t="n">
        <f aca="false">0.5*$B$11*B20^2</f>
        <v>-5.74457279942055</v>
      </c>
      <c r="D20" s="27" t="n">
        <f aca="false">$B$12</f>
        <v>14.468275233335</v>
      </c>
      <c r="E20" s="26" t="n">
        <f aca="false">C20+D20</f>
        <v>8.72370243391446</v>
      </c>
    </row>
    <row r="21" customFormat="false" ht="15" hidden="false" customHeight="false" outlineLevel="0" collapsed="false">
      <c r="A21" s="36" t="n">
        <v>0.0075</v>
      </c>
      <c r="B21" s="37" t="n">
        <f aca="false">A21*Spot</f>
        <v>187.5</v>
      </c>
      <c r="C21" s="27" t="n">
        <f aca="false">0.5*$B$11*B21^2</f>
        <v>-12.9252887986962</v>
      </c>
      <c r="D21" s="27" t="n">
        <f aca="false">$B$12</f>
        <v>14.468275233335</v>
      </c>
      <c r="E21" s="26" t="n">
        <f aca="false">C21+D21</f>
        <v>1.54298643463877</v>
      </c>
    </row>
    <row r="22" customFormat="false" ht="15" hidden="false" customHeight="false" outlineLevel="0" collapsed="false">
      <c r="A22" s="36" t="n">
        <v>0.01</v>
      </c>
      <c r="B22" s="37" t="n">
        <f aca="false">A22*Spot</f>
        <v>250</v>
      </c>
      <c r="C22" s="27" t="n">
        <f aca="false">0.5*$B$11*B22^2</f>
        <v>-22.9782911976822</v>
      </c>
      <c r="D22" s="27" t="n">
        <f aca="false">$B$12</f>
        <v>14.468275233335</v>
      </c>
      <c r="E22" s="26" t="n">
        <f aca="false">C22+D22</f>
        <v>-8.51001596434718</v>
      </c>
    </row>
    <row r="23" customFormat="false" ht="15" hidden="false" customHeight="false" outlineLevel="0" collapsed="false">
      <c r="A23" s="36" t="n">
        <v>0.0125</v>
      </c>
      <c r="B23" s="37" t="n">
        <f aca="false">A23*Spot</f>
        <v>312.5</v>
      </c>
      <c r="C23" s="27" t="n">
        <f aca="false">0.5*$B$11*B23^2</f>
        <v>-35.9035799963784</v>
      </c>
      <c r="D23" s="27" t="n">
        <f aca="false">$B$12</f>
        <v>14.468275233335</v>
      </c>
      <c r="E23" s="26" t="n">
        <f aca="false">C23+D23</f>
        <v>-21.4353047630434</v>
      </c>
    </row>
    <row r="24" customFormat="false" ht="15" hidden="false" customHeight="false" outlineLevel="0" collapsed="false">
      <c r="A24" s="36" t="n">
        <v>0.015</v>
      </c>
      <c r="B24" s="37" t="n">
        <f aca="false">A24*Spot</f>
        <v>375</v>
      </c>
      <c r="C24" s="27" t="n">
        <f aca="false">0.5*$B$11*B24^2</f>
        <v>-51.7011551947849</v>
      </c>
      <c r="D24" s="27" t="n">
        <f aca="false">$B$12</f>
        <v>14.468275233335</v>
      </c>
      <c r="E24" s="26" t="n">
        <f aca="false">C24+D24</f>
        <v>-37.2328799614499</v>
      </c>
    </row>
    <row r="25" customFormat="false" ht="15" hidden="false" customHeight="false" outlineLevel="0" collapsed="false">
      <c r="A25" s="36" t="n">
        <v>0.0175</v>
      </c>
      <c r="B25" s="37" t="n">
        <f aca="false">A25*Spot</f>
        <v>437.5</v>
      </c>
      <c r="C25" s="27" t="n">
        <f aca="false">0.5*$B$11*B25^2</f>
        <v>-70.3710167929017</v>
      </c>
      <c r="D25" s="27" t="n">
        <f aca="false">$B$12</f>
        <v>14.468275233335</v>
      </c>
      <c r="E25" s="26" t="n">
        <f aca="false">C25+D25</f>
        <v>-55.9027415595667</v>
      </c>
    </row>
    <row r="26" customFormat="false" ht="15" hidden="false" customHeight="false" outlineLevel="0" collapsed="false">
      <c r="A26" s="36" t="n">
        <v>0.02</v>
      </c>
      <c r="B26" s="37" t="n">
        <f aca="false">A26*Spot</f>
        <v>500</v>
      </c>
      <c r="C26" s="27" t="n">
        <f aca="false">0.5*$B$11*B26^2</f>
        <v>-91.9131647907288</v>
      </c>
      <c r="D26" s="27" t="n">
        <f aca="false">$B$12</f>
        <v>14.468275233335</v>
      </c>
      <c r="E26" s="26" t="n">
        <f aca="false">C26+D26</f>
        <v>-77.4448895573938</v>
      </c>
    </row>
    <row r="27" customFormat="false" ht="15" hidden="false" customHeight="false" outlineLevel="0" collapsed="false">
      <c r="A27" s="36" t="n">
        <v>0.0225</v>
      </c>
      <c r="B27" s="37" t="n">
        <f aca="false">A27*Spot</f>
        <v>562.5</v>
      </c>
      <c r="C27" s="27" t="n">
        <f aca="false">0.5*$B$11*B27^2</f>
        <v>-116.327599188266</v>
      </c>
      <c r="D27" s="27" t="n">
        <f aca="false">$B$12</f>
        <v>14.468275233335</v>
      </c>
      <c r="E27" s="26" t="n">
        <f aca="false">C27+D27</f>
        <v>-101.859323954931</v>
      </c>
    </row>
    <row r="28" customFormat="false" ht="15" hidden="false" customHeight="false" outlineLevel="0" collapsed="false">
      <c r="A28" s="36" t="n">
        <v>0.025</v>
      </c>
      <c r="B28" s="37" t="n">
        <f aca="false">A28*Spot</f>
        <v>625</v>
      </c>
      <c r="C28" s="27" t="n">
        <f aca="false">0.5*$B$11*B28^2</f>
        <v>-143.614319985514</v>
      </c>
      <c r="D28" s="27" t="n">
        <f aca="false">$B$12</f>
        <v>14.468275233335</v>
      </c>
      <c r="E28" s="26" t="n">
        <f aca="false">C28+D28</f>
        <v>-129.146044752179</v>
      </c>
    </row>
  </sheetData>
  <mergeCells count="7">
    <mergeCell ref="A4:E8"/>
    <mergeCell ref="A9:E9"/>
    <mergeCell ref="C11:E11"/>
    <mergeCell ref="C12:E12"/>
    <mergeCell ref="C13:E13"/>
    <mergeCell ref="C14:E14"/>
    <mergeCell ref="C15:E15"/>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70AD47"/>
    <pageSetUpPr fitToPage="false"/>
  </sheetPr>
  <dimension ref="A1:G39"/>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4"/>
    <col collapsed="false" customWidth="true" hidden="false" outlineLevel="0" max="2" min="2" style="0" width="40"/>
    <col collapsed="false" customWidth="true" hidden="false" outlineLevel="0" max="4" min="3" style="0" width="30"/>
    <col collapsed="false" customWidth="true" hidden="false" outlineLevel="0" max="6" min="5" style="0" width="10"/>
    <col collapsed="false" customWidth="true" hidden="false" outlineLevel="0" max="7" min="7" style="0" width="26"/>
  </cols>
  <sheetData>
    <row r="1" customFormat="false" ht="22.05" hidden="false" customHeight="false" outlineLevel="0" collapsed="false">
      <c r="A1" s="1" t="s">
        <v>128</v>
      </c>
    </row>
    <row r="2" customFormat="false" ht="15" hidden="false" customHeight="false" outlineLevel="0" collapsed="false">
      <c r="A2" s="2" t="s">
        <v>129</v>
      </c>
    </row>
    <row r="4" customFormat="false" ht="15" hidden="false" customHeight="false" outlineLevel="0" collapsed="false">
      <c r="A4" s="12" t="s">
        <v>130</v>
      </c>
      <c r="B4" s="12" t="s">
        <v>131</v>
      </c>
      <c r="C4" s="12" t="s">
        <v>132</v>
      </c>
      <c r="D4" s="12" t="s">
        <v>133</v>
      </c>
      <c r="E4" s="12" t="s">
        <v>69</v>
      </c>
      <c r="F4" s="12" t="s">
        <v>134</v>
      </c>
      <c r="G4" s="12" t="s">
        <v>135</v>
      </c>
    </row>
    <row r="5" customFormat="false" ht="45" hidden="false" customHeight="true" outlineLevel="0" collapsed="false">
      <c r="A5" s="38" t="s">
        <v>136</v>
      </c>
      <c r="B5" s="39" t="s">
        <v>137</v>
      </c>
      <c r="C5" s="39" t="s">
        <v>138</v>
      </c>
      <c r="D5" s="39" t="s">
        <v>139</v>
      </c>
      <c r="E5" s="40" t="s">
        <v>140</v>
      </c>
      <c r="F5" s="40" t="s">
        <v>140</v>
      </c>
      <c r="G5" s="39" t="s">
        <v>141</v>
      </c>
    </row>
    <row r="6" customFormat="false" ht="45" hidden="false" customHeight="true" outlineLevel="0" collapsed="false">
      <c r="A6" s="38" t="s">
        <v>142</v>
      </c>
      <c r="B6" s="39" t="s">
        <v>143</v>
      </c>
      <c r="C6" s="39" t="s">
        <v>144</v>
      </c>
      <c r="D6" s="39" t="s">
        <v>145</v>
      </c>
      <c r="E6" s="40" t="s">
        <v>140</v>
      </c>
      <c r="F6" s="40" t="s">
        <v>140</v>
      </c>
      <c r="G6" s="39" t="s">
        <v>141</v>
      </c>
    </row>
    <row r="7" customFormat="false" ht="45" hidden="false" customHeight="true" outlineLevel="0" collapsed="false">
      <c r="A7" s="38" t="s">
        <v>146</v>
      </c>
      <c r="B7" s="39" t="s">
        <v>147</v>
      </c>
      <c r="C7" s="39" t="s">
        <v>148</v>
      </c>
      <c r="D7" s="39" t="s">
        <v>149</v>
      </c>
      <c r="E7" s="40" t="s">
        <v>140</v>
      </c>
      <c r="F7" s="40" t="s">
        <v>140</v>
      </c>
      <c r="G7" s="39" t="s">
        <v>150</v>
      </c>
    </row>
    <row r="8" customFormat="false" ht="45" hidden="false" customHeight="true" outlineLevel="0" collapsed="false">
      <c r="A8" s="38" t="s">
        <v>151</v>
      </c>
      <c r="B8" s="39" t="s">
        <v>152</v>
      </c>
      <c r="C8" s="39" t="s">
        <v>153</v>
      </c>
      <c r="D8" s="39" t="s">
        <v>154</v>
      </c>
      <c r="E8" s="40" t="s">
        <v>140</v>
      </c>
      <c r="F8" s="40" t="s">
        <v>140</v>
      </c>
      <c r="G8" s="39" t="s">
        <v>155</v>
      </c>
    </row>
    <row r="9" customFormat="false" ht="45" hidden="false" customHeight="true" outlineLevel="0" collapsed="false">
      <c r="A9" s="38" t="s">
        <v>156</v>
      </c>
      <c r="B9" s="39" t="s">
        <v>157</v>
      </c>
      <c r="C9" s="39" t="s">
        <v>158</v>
      </c>
      <c r="D9" s="39" t="s">
        <v>159</v>
      </c>
      <c r="E9" s="40" t="s">
        <v>160</v>
      </c>
      <c r="F9" s="40" t="s">
        <v>160</v>
      </c>
      <c r="G9" s="39" t="s">
        <v>161</v>
      </c>
    </row>
    <row r="10" customFormat="false" ht="45" hidden="false" customHeight="true" outlineLevel="0" collapsed="false">
      <c r="A10" s="38" t="s">
        <v>162</v>
      </c>
      <c r="B10" s="39" t="s">
        <v>163</v>
      </c>
      <c r="C10" s="39" t="s">
        <v>164</v>
      </c>
      <c r="D10" s="39" t="s">
        <v>165</v>
      </c>
      <c r="E10" s="40" t="s">
        <v>160</v>
      </c>
      <c r="F10" s="40" t="s">
        <v>160</v>
      </c>
      <c r="G10" s="39" t="s">
        <v>161</v>
      </c>
    </row>
    <row r="11" customFormat="false" ht="45" hidden="false" customHeight="true" outlineLevel="0" collapsed="false">
      <c r="A11" s="38" t="s">
        <v>166</v>
      </c>
      <c r="B11" s="39" t="s">
        <v>167</v>
      </c>
      <c r="C11" s="39" t="s">
        <v>168</v>
      </c>
      <c r="D11" s="39" t="s">
        <v>165</v>
      </c>
      <c r="E11" s="40" t="s">
        <v>160</v>
      </c>
      <c r="F11" s="40" t="s">
        <v>160</v>
      </c>
      <c r="G11" s="39" t="s">
        <v>169</v>
      </c>
    </row>
    <row r="12" customFormat="false" ht="45" hidden="false" customHeight="true" outlineLevel="0" collapsed="false">
      <c r="A12" s="38" t="s">
        <v>170</v>
      </c>
      <c r="B12" s="39" t="s">
        <v>171</v>
      </c>
      <c r="C12" s="39" t="s">
        <v>172</v>
      </c>
      <c r="D12" s="39" t="s">
        <v>173</v>
      </c>
      <c r="E12" s="40" t="s">
        <v>160</v>
      </c>
      <c r="F12" s="40" t="s">
        <v>140</v>
      </c>
      <c r="G12" s="39" t="s">
        <v>174</v>
      </c>
    </row>
    <row r="13" customFormat="false" ht="45" hidden="false" customHeight="true" outlineLevel="0" collapsed="false">
      <c r="A13" s="38" t="s">
        <v>175</v>
      </c>
      <c r="B13" s="39" t="s">
        <v>176</v>
      </c>
      <c r="C13" s="39" t="s">
        <v>177</v>
      </c>
      <c r="D13" s="39" t="s">
        <v>178</v>
      </c>
      <c r="E13" s="40" t="s">
        <v>179</v>
      </c>
      <c r="F13" s="40" t="s">
        <v>180</v>
      </c>
      <c r="G13" s="39" t="s">
        <v>181</v>
      </c>
    </row>
    <row r="15" customFormat="false" ht="21.75" hidden="false" customHeight="true" outlineLevel="0" collapsed="false">
      <c r="A15" s="11" t="s">
        <v>182</v>
      </c>
      <c r="B15" s="11"/>
      <c r="C15" s="11"/>
      <c r="D15" s="11"/>
      <c r="E15" s="11"/>
      <c r="F15" s="11"/>
      <c r="G15" s="11"/>
    </row>
    <row r="16" customFormat="false" ht="21.75" hidden="false" customHeight="true" outlineLevel="0" collapsed="false">
      <c r="A16" s="11"/>
      <c r="B16" s="11"/>
      <c r="C16" s="11"/>
      <c r="D16" s="11"/>
      <c r="E16" s="11"/>
      <c r="F16" s="11"/>
      <c r="G16" s="11"/>
    </row>
    <row r="18" customFormat="false" ht="15" hidden="false" customHeight="false" outlineLevel="0" collapsed="false">
      <c r="A18" s="4" t="s">
        <v>183</v>
      </c>
      <c r="B18" s="23" t="n">
        <f aca="false">1_Inputs!B27+1_Inputs!C27</f>
        <v>861.2421108773</v>
      </c>
    </row>
    <row r="19" customFormat="false" ht="15" hidden="false" customHeight="false" outlineLevel="0" collapsed="false">
      <c r="A19" s="4" t="s">
        <v>184</v>
      </c>
      <c r="B19" s="23" t="n">
        <f aca="false">1_Inputs!B28+1_Inputs!C26</f>
        <v>453.994046540899</v>
      </c>
    </row>
    <row r="20" customFormat="false" ht="15" hidden="false" customHeight="false" outlineLevel="0" collapsed="false">
      <c r="A20" s="4" t="s">
        <v>185</v>
      </c>
      <c r="B20" s="23" t="n">
        <f aca="false">1_Inputs!B28+1_Inputs!C26-1_Inputs!B29-1_Inputs!C25</f>
        <v>244.546801123283</v>
      </c>
    </row>
    <row r="22" customFormat="false" ht="15" hidden="false" customHeight="false" outlineLevel="0" collapsed="false">
      <c r="A22" s="12" t="s">
        <v>186</v>
      </c>
      <c r="B22" s="12" t="s">
        <v>136</v>
      </c>
      <c r="C22" s="12" t="s">
        <v>162</v>
      </c>
      <c r="D22" s="12" t="s">
        <v>187</v>
      </c>
    </row>
    <row r="23" customFormat="false" ht="15" hidden="false" customHeight="false" outlineLevel="0" collapsed="false">
      <c r="A23" s="24" t="n">
        <v>23000</v>
      </c>
      <c r="B23" s="27" t="n">
        <f aca="false">MAX(A23-1_Inputs!$A$27,0)+MAX(1_Inputs!$A$27-A23,0)-$B$18</f>
        <v>1138.7578891227</v>
      </c>
      <c r="C23" s="27" t="n">
        <f aca="false">$B$19-MAX(A23-1_Inputs!$A$28,0)-MAX(1_Inputs!$A$26-A23,0)</f>
        <v>-1046.0059534591</v>
      </c>
      <c r="D23" s="27" t="n">
        <f aca="false">$B$20-MAX(A23-1_Inputs!$A$28,0)-MAX(1_Inputs!$A$26-A23,0)+MAX(A23-1_Inputs!$A$29,0)+MAX(1_Inputs!$A$25-A23,0)</f>
        <v>-255.453198876717</v>
      </c>
    </row>
    <row r="24" customFormat="false" ht="15" hidden="false" customHeight="false" outlineLevel="0" collapsed="false">
      <c r="A24" s="24" t="n">
        <v>23250</v>
      </c>
      <c r="B24" s="27" t="n">
        <f aca="false">MAX(A24-1_Inputs!$A$27,0)+MAX(1_Inputs!$A$27-A24,0)-$B$18</f>
        <v>888.7578891227</v>
      </c>
      <c r="C24" s="27" t="n">
        <f aca="false">$B$19-MAX(A24-1_Inputs!$A$28,0)-MAX(1_Inputs!$A$26-A24,0)</f>
        <v>-796.005953459101</v>
      </c>
      <c r="D24" s="27" t="n">
        <f aca="false">$B$20-MAX(A24-1_Inputs!$A$28,0)-MAX(1_Inputs!$A$26-A24,0)+MAX(A24-1_Inputs!$A$29,0)+MAX(1_Inputs!$A$25-A24,0)</f>
        <v>-255.453198876717</v>
      </c>
    </row>
    <row r="25" customFormat="false" ht="15" hidden="false" customHeight="false" outlineLevel="0" collapsed="false">
      <c r="A25" s="24" t="n">
        <v>23500</v>
      </c>
      <c r="B25" s="27" t="n">
        <f aca="false">MAX(A25-1_Inputs!$A$27,0)+MAX(1_Inputs!$A$27-A25,0)-$B$18</f>
        <v>638.7578891227</v>
      </c>
      <c r="C25" s="27" t="n">
        <f aca="false">$B$19-MAX(A25-1_Inputs!$A$28,0)-MAX(1_Inputs!$A$26-A25,0)</f>
        <v>-546.005953459101</v>
      </c>
      <c r="D25" s="27" t="n">
        <f aca="false">$B$20-MAX(A25-1_Inputs!$A$28,0)-MAX(1_Inputs!$A$26-A25,0)+MAX(A25-1_Inputs!$A$29,0)+MAX(1_Inputs!$A$25-A25,0)</f>
        <v>-255.453198876717</v>
      </c>
    </row>
    <row r="26" customFormat="false" ht="15" hidden="false" customHeight="false" outlineLevel="0" collapsed="false">
      <c r="A26" s="24" t="n">
        <v>23750</v>
      </c>
      <c r="B26" s="27" t="n">
        <f aca="false">MAX(A26-1_Inputs!$A$27,0)+MAX(1_Inputs!$A$27-A26,0)-$B$18</f>
        <v>388.7578891227</v>
      </c>
      <c r="C26" s="27" t="n">
        <f aca="false">$B$19-MAX(A26-1_Inputs!$A$28,0)-MAX(1_Inputs!$A$26-A26,0)</f>
        <v>-296.005953459101</v>
      </c>
      <c r="D26" s="27" t="n">
        <f aca="false">$B$20-MAX(A26-1_Inputs!$A$28,0)-MAX(1_Inputs!$A$26-A26,0)+MAX(A26-1_Inputs!$A$29,0)+MAX(1_Inputs!$A$25-A26,0)</f>
        <v>-255.453198876717</v>
      </c>
    </row>
    <row r="27" customFormat="false" ht="15" hidden="false" customHeight="false" outlineLevel="0" collapsed="false">
      <c r="A27" s="24" t="n">
        <v>24000</v>
      </c>
      <c r="B27" s="27" t="n">
        <f aca="false">MAX(A27-1_Inputs!$A$27,0)+MAX(1_Inputs!$A$27-A27,0)-$B$18</f>
        <v>138.7578891227</v>
      </c>
      <c r="C27" s="27" t="n">
        <f aca="false">$B$19-MAX(A27-1_Inputs!$A$28,0)-MAX(1_Inputs!$A$26-A27,0)</f>
        <v>-46.005953459101</v>
      </c>
      <c r="D27" s="27" t="n">
        <f aca="false">$B$20-MAX(A27-1_Inputs!$A$28,0)-MAX(1_Inputs!$A$26-A27,0)+MAX(A27-1_Inputs!$A$29,0)+MAX(1_Inputs!$A$25-A27,0)</f>
        <v>-255.453198876717</v>
      </c>
    </row>
    <row r="28" customFormat="false" ht="15" hidden="false" customHeight="false" outlineLevel="0" collapsed="false">
      <c r="A28" s="24" t="n">
        <v>24250</v>
      </c>
      <c r="B28" s="27" t="n">
        <f aca="false">MAX(A28-1_Inputs!$A$27,0)+MAX(1_Inputs!$A$27-A28,0)-$B$18</f>
        <v>-111.2421108773</v>
      </c>
      <c r="C28" s="27" t="n">
        <f aca="false">$B$19-MAX(A28-1_Inputs!$A$28,0)-MAX(1_Inputs!$A$26-A28,0)</f>
        <v>203.994046540899</v>
      </c>
      <c r="D28" s="27" t="n">
        <f aca="false">$B$20-MAX(A28-1_Inputs!$A$28,0)-MAX(1_Inputs!$A$26-A28,0)+MAX(A28-1_Inputs!$A$29,0)+MAX(1_Inputs!$A$25-A28,0)</f>
        <v>-5.45319887671712</v>
      </c>
    </row>
    <row r="29" customFormat="false" ht="15" hidden="false" customHeight="false" outlineLevel="0" collapsed="false">
      <c r="A29" s="24" t="n">
        <v>24500</v>
      </c>
      <c r="B29" s="27" t="n">
        <f aca="false">MAX(A29-1_Inputs!$A$27,0)+MAX(1_Inputs!$A$27-A29,0)-$B$18</f>
        <v>-361.2421108773</v>
      </c>
      <c r="C29" s="27" t="n">
        <f aca="false">$B$19-MAX(A29-1_Inputs!$A$28,0)-MAX(1_Inputs!$A$26-A29,0)</f>
        <v>453.994046540899</v>
      </c>
      <c r="D29" s="27" t="n">
        <f aca="false">$B$20-MAX(A29-1_Inputs!$A$28,0)-MAX(1_Inputs!$A$26-A29,0)+MAX(A29-1_Inputs!$A$29,0)+MAX(1_Inputs!$A$25-A29,0)</f>
        <v>244.546801123283</v>
      </c>
    </row>
    <row r="30" customFormat="false" ht="15" hidden="false" customHeight="false" outlineLevel="0" collapsed="false">
      <c r="A30" s="24" t="n">
        <v>24750</v>
      </c>
      <c r="B30" s="27" t="n">
        <f aca="false">MAX(A30-1_Inputs!$A$27,0)+MAX(1_Inputs!$A$27-A30,0)-$B$18</f>
        <v>-611.2421108773</v>
      </c>
      <c r="C30" s="27" t="n">
        <f aca="false">$B$19-MAX(A30-1_Inputs!$A$28,0)-MAX(1_Inputs!$A$26-A30,0)</f>
        <v>453.994046540899</v>
      </c>
      <c r="D30" s="27" t="n">
        <f aca="false">$B$20-MAX(A30-1_Inputs!$A$28,0)-MAX(1_Inputs!$A$26-A30,0)+MAX(A30-1_Inputs!$A$29,0)+MAX(1_Inputs!$A$25-A30,0)</f>
        <v>244.546801123283</v>
      </c>
    </row>
    <row r="31" customFormat="false" ht="15" hidden="false" customHeight="false" outlineLevel="0" collapsed="false">
      <c r="A31" s="24" t="n">
        <v>25000</v>
      </c>
      <c r="B31" s="27" t="n">
        <f aca="false">MAX(A31-1_Inputs!$A$27,0)+MAX(1_Inputs!$A$27-A31,0)-$B$18</f>
        <v>-861.2421108773</v>
      </c>
      <c r="C31" s="27" t="n">
        <f aca="false">$B$19-MAX(A31-1_Inputs!$A$28,0)-MAX(1_Inputs!$A$26-A31,0)</f>
        <v>453.994046540899</v>
      </c>
      <c r="D31" s="27" t="n">
        <f aca="false">$B$20-MAX(A31-1_Inputs!$A$28,0)-MAX(1_Inputs!$A$26-A31,0)+MAX(A31-1_Inputs!$A$29,0)+MAX(1_Inputs!$A$25-A31,0)</f>
        <v>244.546801123283</v>
      </c>
    </row>
    <row r="32" customFormat="false" ht="15" hidden="false" customHeight="false" outlineLevel="0" collapsed="false">
      <c r="A32" s="24" t="n">
        <v>25250</v>
      </c>
      <c r="B32" s="27" t="n">
        <f aca="false">MAX(A32-1_Inputs!$A$27,0)+MAX(1_Inputs!$A$27-A32,0)-$B$18</f>
        <v>-611.2421108773</v>
      </c>
      <c r="C32" s="27" t="n">
        <f aca="false">$B$19-MAX(A32-1_Inputs!$A$28,0)-MAX(1_Inputs!$A$26-A32,0)</f>
        <v>453.994046540899</v>
      </c>
      <c r="D32" s="27" t="n">
        <f aca="false">$B$20-MAX(A32-1_Inputs!$A$28,0)-MAX(1_Inputs!$A$26-A32,0)+MAX(A32-1_Inputs!$A$29,0)+MAX(1_Inputs!$A$25-A32,0)</f>
        <v>244.546801123283</v>
      </c>
    </row>
    <row r="33" customFormat="false" ht="15" hidden="false" customHeight="false" outlineLevel="0" collapsed="false">
      <c r="A33" s="24" t="n">
        <v>25500</v>
      </c>
      <c r="B33" s="27" t="n">
        <f aca="false">MAX(A33-1_Inputs!$A$27,0)+MAX(1_Inputs!$A$27-A33,0)-$B$18</f>
        <v>-361.2421108773</v>
      </c>
      <c r="C33" s="27" t="n">
        <f aca="false">$B$19-MAX(A33-1_Inputs!$A$28,0)-MAX(1_Inputs!$A$26-A33,0)</f>
        <v>453.994046540899</v>
      </c>
      <c r="D33" s="27" t="n">
        <f aca="false">$B$20-MAX(A33-1_Inputs!$A$28,0)-MAX(1_Inputs!$A$26-A33,0)+MAX(A33-1_Inputs!$A$29,0)+MAX(1_Inputs!$A$25-A33,0)</f>
        <v>244.546801123283</v>
      </c>
    </row>
    <row r="34" customFormat="false" ht="15" hidden="false" customHeight="false" outlineLevel="0" collapsed="false">
      <c r="A34" s="24" t="n">
        <v>25750</v>
      </c>
      <c r="B34" s="27" t="n">
        <f aca="false">MAX(A34-1_Inputs!$A$27,0)+MAX(1_Inputs!$A$27-A34,0)-$B$18</f>
        <v>-111.2421108773</v>
      </c>
      <c r="C34" s="27" t="n">
        <f aca="false">$B$19-MAX(A34-1_Inputs!$A$28,0)-MAX(1_Inputs!$A$26-A34,0)</f>
        <v>203.994046540899</v>
      </c>
      <c r="D34" s="27" t="n">
        <f aca="false">$B$20-MAX(A34-1_Inputs!$A$28,0)-MAX(1_Inputs!$A$26-A34,0)+MAX(A34-1_Inputs!$A$29,0)+MAX(1_Inputs!$A$25-A34,0)</f>
        <v>-5.45319887671712</v>
      </c>
    </row>
    <row r="35" customFormat="false" ht="15" hidden="false" customHeight="false" outlineLevel="0" collapsed="false">
      <c r="A35" s="24" t="n">
        <v>26000</v>
      </c>
      <c r="B35" s="27" t="n">
        <f aca="false">MAX(A35-1_Inputs!$A$27,0)+MAX(1_Inputs!$A$27-A35,0)-$B$18</f>
        <v>138.7578891227</v>
      </c>
      <c r="C35" s="27" t="n">
        <f aca="false">$B$19-MAX(A35-1_Inputs!$A$28,0)-MAX(1_Inputs!$A$26-A35,0)</f>
        <v>-46.005953459101</v>
      </c>
      <c r="D35" s="27" t="n">
        <f aca="false">$B$20-MAX(A35-1_Inputs!$A$28,0)-MAX(1_Inputs!$A$26-A35,0)+MAX(A35-1_Inputs!$A$29,0)+MAX(1_Inputs!$A$25-A35,0)</f>
        <v>-255.453198876717</v>
      </c>
    </row>
    <row r="36" customFormat="false" ht="15" hidden="false" customHeight="false" outlineLevel="0" collapsed="false">
      <c r="A36" s="24" t="n">
        <v>26250</v>
      </c>
      <c r="B36" s="27" t="n">
        <f aca="false">MAX(A36-1_Inputs!$A$27,0)+MAX(1_Inputs!$A$27-A36,0)-$B$18</f>
        <v>388.7578891227</v>
      </c>
      <c r="C36" s="27" t="n">
        <f aca="false">$B$19-MAX(A36-1_Inputs!$A$28,0)-MAX(1_Inputs!$A$26-A36,0)</f>
        <v>-296.005953459101</v>
      </c>
      <c r="D36" s="27" t="n">
        <f aca="false">$B$20-MAX(A36-1_Inputs!$A$28,0)-MAX(1_Inputs!$A$26-A36,0)+MAX(A36-1_Inputs!$A$29,0)+MAX(1_Inputs!$A$25-A36,0)</f>
        <v>-255.453198876717</v>
      </c>
    </row>
    <row r="37" customFormat="false" ht="15" hidden="false" customHeight="false" outlineLevel="0" collapsed="false">
      <c r="A37" s="24" t="n">
        <v>26500</v>
      </c>
      <c r="B37" s="27" t="n">
        <f aca="false">MAX(A37-1_Inputs!$A$27,0)+MAX(1_Inputs!$A$27-A37,0)-$B$18</f>
        <v>638.7578891227</v>
      </c>
      <c r="C37" s="27" t="n">
        <f aca="false">$B$19-MAX(A37-1_Inputs!$A$28,0)-MAX(1_Inputs!$A$26-A37,0)</f>
        <v>-546.005953459101</v>
      </c>
      <c r="D37" s="27" t="n">
        <f aca="false">$B$20-MAX(A37-1_Inputs!$A$28,0)-MAX(1_Inputs!$A$26-A37,0)+MAX(A37-1_Inputs!$A$29,0)+MAX(1_Inputs!$A$25-A37,0)</f>
        <v>-255.453198876717</v>
      </c>
    </row>
    <row r="38" customFormat="false" ht="15" hidden="false" customHeight="false" outlineLevel="0" collapsed="false">
      <c r="A38" s="24" t="n">
        <v>26750</v>
      </c>
      <c r="B38" s="27" t="n">
        <f aca="false">MAX(A38-1_Inputs!$A$27,0)+MAX(1_Inputs!$A$27-A38,0)-$B$18</f>
        <v>888.7578891227</v>
      </c>
      <c r="C38" s="27" t="n">
        <f aca="false">$B$19-MAX(A38-1_Inputs!$A$28,0)-MAX(1_Inputs!$A$26-A38,0)</f>
        <v>-796.005953459101</v>
      </c>
      <c r="D38" s="27" t="n">
        <f aca="false">$B$20-MAX(A38-1_Inputs!$A$28,0)-MAX(1_Inputs!$A$26-A38,0)+MAX(A38-1_Inputs!$A$29,0)+MAX(1_Inputs!$A$25-A38,0)</f>
        <v>-255.453198876717</v>
      </c>
    </row>
    <row r="39" customFormat="false" ht="15" hidden="false" customHeight="false" outlineLevel="0" collapsed="false">
      <c r="A39" s="24" t="n">
        <v>27000</v>
      </c>
      <c r="B39" s="27" t="n">
        <f aca="false">MAX(A39-1_Inputs!$A$27,0)+MAX(1_Inputs!$A$27-A39,0)-$B$18</f>
        <v>1138.7578891227</v>
      </c>
      <c r="C39" s="27" t="n">
        <f aca="false">$B$19-MAX(A39-1_Inputs!$A$28,0)-MAX(1_Inputs!$A$26-A39,0)</f>
        <v>-1046.0059534591</v>
      </c>
      <c r="D39" s="27" t="n">
        <f aca="false">$B$20-MAX(A39-1_Inputs!$A$28,0)-MAX(1_Inputs!$A$26-A39,0)+MAX(A39-1_Inputs!$A$29,0)+MAX(1_Inputs!$A$25-A39,0)</f>
        <v>-255.453198876717</v>
      </c>
    </row>
  </sheetData>
  <mergeCells count="1">
    <mergeCell ref="A15:G16"/>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7F7F7F"/>
    <pageSetUpPr fitToPage="false"/>
  </sheetPr>
  <dimension ref="A1:B19"/>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6"/>
    <col collapsed="false" customWidth="true" hidden="false" outlineLevel="0" max="2" min="2" style="0" width="100"/>
  </cols>
  <sheetData>
    <row r="1" customFormat="false" ht="22.05" hidden="false" customHeight="false" outlineLevel="0" collapsed="false">
      <c r="A1" s="1" t="s">
        <v>188</v>
      </c>
    </row>
    <row r="3" customFormat="false" ht="15" hidden="false" customHeight="false" outlineLevel="0" collapsed="false">
      <c r="A3" s="12" t="s">
        <v>189</v>
      </c>
      <c r="B3" s="12" t="s">
        <v>190</v>
      </c>
    </row>
    <row r="4" customFormat="false" ht="30" hidden="false" customHeight="true" outlineLevel="0" collapsed="false">
      <c r="A4" s="7" t="s">
        <v>191</v>
      </c>
      <c r="B4" s="41" t="s">
        <v>192</v>
      </c>
    </row>
    <row r="5" customFormat="false" ht="30" hidden="false" customHeight="true" outlineLevel="0" collapsed="false">
      <c r="A5" s="7" t="s">
        <v>193</v>
      </c>
      <c r="B5" s="41" t="s">
        <v>194</v>
      </c>
    </row>
    <row r="6" customFormat="false" ht="30" hidden="false" customHeight="true" outlineLevel="0" collapsed="false">
      <c r="A6" s="7" t="s">
        <v>195</v>
      </c>
      <c r="B6" s="41" t="s">
        <v>196</v>
      </c>
    </row>
    <row r="7" customFormat="false" ht="30" hidden="false" customHeight="true" outlineLevel="0" collapsed="false">
      <c r="A7" s="7" t="s">
        <v>197</v>
      </c>
      <c r="B7" s="41" t="s">
        <v>198</v>
      </c>
    </row>
    <row r="8" customFormat="false" ht="30" hidden="false" customHeight="true" outlineLevel="0" collapsed="false">
      <c r="A8" s="7" t="s">
        <v>199</v>
      </c>
      <c r="B8" s="41" t="s">
        <v>200</v>
      </c>
    </row>
    <row r="9" customFormat="false" ht="30" hidden="false" customHeight="true" outlineLevel="0" collapsed="false">
      <c r="A9" s="7" t="s">
        <v>201</v>
      </c>
      <c r="B9" s="41" t="s">
        <v>202</v>
      </c>
    </row>
    <row r="10" customFormat="false" ht="30" hidden="false" customHeight="true" outlineLevel="0" collapsed="false">
      <c r="A10" s="7" t="s">
        <v>203</v>
      </c>
      <c r="B10" s="41" t="s">
        <v>204</v>
      </c>
    </row>
    <row r="11" customFormat="false" ht="30" hidden="false" customHeight="true" outlineLevel="0" collapsed="false">
      <c r="A11" s="7" t="s">
        <v>67</v>
      </c>
      <c r="B11" s="41" t="s">
        <v>205</v>
      </c>
    </row>
    <row r="12" customFormat="false" ht="30" hidden="false" customHeight="true" outlineLevel="0" collapsed="false">
      <c r="A12" s="7" t="s">
        <v>69</v>
      </c>
      <c r="B12" s="41" t="s">
        <v>206</v>
      </c>
    </row>
    <row r="13" customFormat="false" ht="30" hidden="false" customHeight="true" outlineLevel="0" collapsed="false">
      <c r="A13" s="7" t="s">
        <v>207</v>
      </c>
      <c r="B13" s="41" t="s">
        <v>208</v>
      </c>
    </row>
    <row r="14" customFormat="false" ht="30" hidden="false" customHeight="true" outlineLevel="0" collapsed="false">
      <c r="A14" s="7" t="s">
        <v>209</v>
      </c>
      <c r="B14" s="41" t="s">
        <v>210</v>
      </c>
    </row>
    <row r="15" customFormat="false" ht="30" hidden="false" customHeight="true" outlineLevel="0" collapsed="false">
      <c r="A15" s="7" t="s">
        <v>134</v>
      </c>
      <c r="B15" s="41" t="s">
        <v>211</v>
      </c>
    </row>
    <row r="16" customFormat="false" ht="30" hidden="false" customHeight="true" outlineLevel="0" collapsed="false">
      <c r="A16" s="7" t="s">
        <v>212</v>
      </c>
      <c r="B16" s="41" t="s">
        <v>213</v>
      </c>
    </row>
    <row r="17" customFormat="false" ht="30" hidden="false" customHeight="true" outlineLevel="0" collapsed="false">
      <c r="A17" s="7" t="s">
        <v>214</v>
      </c>
      <c r="B17" s="41" t="s">
        <v>215</v>
      </c>
    </row>
    <row r="18" customFormat="false" ht="30" hidden="false" customHeight="true" outlineLevel="0" collapsed="false">
      <c r="A18" s="7" t="s">
        <v>216</v>
      </c>
      <c r="B18" s="41" t="s">
        <v>217</v>
      </c>
    </row>
    <row r="19" customFormat="false" ht="30" hidden="false" customHeight="true" outlineLevel="0" collapsed="false">
      <c r="A19" s="7" t="s">
        <v>218</v>
      </c>
      <c r="B19" s="41" t="s">
        <v>219</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2026-11-07T15:02:02Z</dcterms:created>
  <dc:creator>openpyxl</dc:creator>
  <dc:description/>
  <dc:language>en-US</dc:language>
  <cp:lastModifiedBy/>
  <dcterms:modified xsi:type="dcterms:W3CDTF">2026-11-07T15:02:04Z</dcterms:modified>
  <cp:revision>1</cp:revision>
  <dc:subject/>
  <dc:title/>
</cp:coreProperties>
</file>

<file path=docProps/custom.xml><?xml version="1.0" encoding="utf-8"?>
<Properties xmlns="http://schemas.openxmlformats.org/officeDocument/2006/custom-properties" xmlns:vt="http://schemas.openxmlformats.org/officeDocument/2006/docPropsVTypes"/>
</file>