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J:\1. SimTrade\0.  Blog SimTrade\1. Billets en cours de redaction\2024-12 Andrea ALOSCARI\"/>
    </mc:Choice>
  </mc:AlternateContent>
  <xr:revisionPtr revIDLastSave="0" documentId="13_ncr:1_{403F0C4C-4799-48B0-B1A1-CEC3905363C0}" xr6:coauthVersionLast="47" xr6:coauthVersionMax="47" xr10:uidLastSave="{00000000-0000-0000-0000-000000000000}"/>
  <bookViews>
    <workbookView xWindow="-93" yWindow="-93" windowWidth="25786" windowHeight="13986" tabRatio="878" activeTab="9" xr2:uid="{3880D9D9-F931-42F8-9009-B63BEF23801B}"/>
  </bookViews>
  <sheets>
    <sheet name="Time Series" sheetId="2" r:id="rId1"/>
    <sheet name="WACC" sheetId="1" r:id="rId2"/>
    <sheet name="Balance Sheet" sheetId="17" r:id="rId3"/>
    <sheet name="Income Statement" sheetId="5" r:id="rId4"/>
    <sheet name="Cash Flow Statement" sheetId="6" r:id="rId5"/>
    <sheet name="Forecast" sheetId="15" r:id="rId6"/>
    <sheet name="Forecasting" sheetId="13" state="hidden" r:id="rId7"/>
    <sheet name="DCF" sheetId="14" r:id="rId8"/>
    <sheet name="CAPEX e D&amp;A" sheetId="12" r:id="rId9"/>
    <sheet name="Revenue forecasting" sheetId="16" r:id="rId10"/>
    <sheet name="DCF2" sheetId="7" state="hidden"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6" l="1"/>
  <c r="C10" i="1"/>
  <c r="C24" i="1"/>
  <c r="F43" i="17"/>
  <c r="E41" i="17"/>
  <c r="E43" i="17" s="1"/>
  <c r="D41" i="17"/>
  <c r="D43" i="17" s="1"/>
  <c r="D44" i="17" s="1"/>
  <c r="C41" i="17"/>
  <c r="C43" i="17" s="1"/>
  <c r="D33" i="17"/>
  <c r="C33" i="17"/>
  <c r="C44" i="17" s="1"/>
  <c r="F32" i="17"/>
  <c r="F33" i="17" s="1"/>
  <c r="F44" i="17" s="1"/>
  <c r="E32" i="17"/>
  <c r="E33" i="17" s="1"/>
  <c r="E44" i="17" s="1"/>
  <c r="D32" i="17"/>
  <c r="C32" i="17"/>
  <c r="I30" i="17"/>
  <c r="F26" i="17"/>
  <c r="E26" i="17"/>
  <c r="D26" i="17"/>
  <c r="C26" i="17"/>
  <c r="F19" i="17"/>
  <c r="E19" i="17"/>
  <c r="D19" i="17"/>
  <c r="F14" i="17"/>
  <c r="E14" i="17"/>
  <c r="D14" i="17"/>
  <c r="C14" i="17"/>
  <c r="C19" i="17" s="1"/>
  <c r="F6" i="17"/>
  <c r="F11" i="17" s="1"/>
  <c r="E6" i="17"/>
  <c r="E11" i="17" s="1"/>
  <c r="D6" i="17"/>
  <c r="D11" i="17" s="1"/>
  <c r="C6" i="17"/>
  <c r="C11" i="17" s="1"/>
  <c r="C27" i="1"/>
  <c r="C59" i="14"/>
  <c r="C20" i="1"/>
  <c r="C58" i="14"/>
  <c r="J47" i="14"/>
  <c r="I47" i="14" s="1"/>
  <c r="L47" i="14"/>
  <c r="M47" i="14" s="1"/>
  <c r="C48" i="17" l="1"/>
  <c r="C47" i="17"/>
  <c r="C20" i="17"/>
  <c r="D48" i="17"/>
  <c r="D49" i="17" s="1"/>
  <c r="D47" i="17"/>
  <c r="D20" i="17"/>
  <c r="E48" i="17"/>
  <c r="E49" i="17" s="1"/>
  <c r="E47" i="17"/>
  <c r="E20" i="17"/>
  <c r="F48" i="17"/>
  <c r="F49" i="17" s="1"/>
  <c r="F47" i="17"/>
  <c r="F20" i="17"/>
  <c r="G43" i="17" s="1"/>
  <c r="C4" i="1"/>
  <c r="P6" i="16" l="1"/>
  <c r="C37" i="6"/>
  <c r="Q6" i="2"/>
  <c r="Q7" i="2"/>
  <c r="Q3" i="2"/>
  <c r="Q4" i="2"/>
  <c r="Q8" i="16" l="1"/>
  <c r="F9" i="16" l="1"/>
  <c r="H12" i="16"/>
  <c r="C5" i="12"/>
  <c r="C6" i="5"/>
  <c r="C29" i="6"/>
  <c r="C3" i="12"/>
  <c r="P8" i="16"/>
  <c r="O8" i="16"/>
  <c r="P9" i="16"/>
  <c r="O18" i="16"/>
  <c r="Q9" i="16"/>
  <c r="Q5" i="16" l="1"/>
  <c r="P18" i="16" l="1"/>
  <c r="Q18" i="16"/>
  <c r="O15" i="16"/>
  <c r="P15" i="16"/>
  <c r="Q15" i="16"/>
  <c r="O12" i="16"/>
  <c r="P12" i="16"/>
  <c r="Q12" i="16"/>
  <c r="C18" i="16"/>
  <c r="N18" i="16"/>
  <c r="M18" i="16"/>
  <c r="L18" i="16"/>
  <c r="K18" i="16"/>
  <c r="J18" i="16"/>
  <c r="I18" i="16"/>
  <c r="H18" i="16"/>
  <c r="G18" i="16"/>
  <c r="F18" i="16"/>
  <c r="E18" i="16"/>
  <c r="D18" i="16"/>
  <c r="N15" i="16"/>
  <c r="M15" i="16"/>
  <c r="L15" i="16"/>
  <c r="K15" i="16"/>
  <c r="J15" i="16"/>
  <c r="I15" i="16"/>
  <c r="H15" i="16"/>
  <c r="G15" i="16"/>
  <c r="F15" i="16"/>
  <c r="E15" i="16"/>
  <c r="D15" i="16"/>
  <c r="C15" i="16"/>
  <c r="N12" i="16"/>
  <c r="M12" i="16"/>
  <c r="L12" i="16"/>
  <c r="K12" i="16"/>
  <c r="J12" i="16"/>
  <c r="I12" i="16"/>
  <c r="G12" i="16"/>
  <c r="F12" i="16"/>
  <c r="E12" i="16"/>
  <c r="D12" i="16"/>
  <c r="C12" i="16"/>
  <c r="C8" i="16"/>
  <c r="C5" i="16" s="1"/>
  <c r="D8" i="16"/>
  <c r="E8" i="16"/>
  <c r="E5" i="16" s="1"/>
  <c r="F8" i="16"/>
  <c r="F5" i="16" s="1"/>
  <c r="G8" i="16"/>
  <c r="G5" i="16" s="1"/>
  <c r="G6" i="16" s="1"/>
  <c r="H8" i="16"/>
  <c r="H5" i="16" s="1"/>
  <c r="I8" i="16"/>
  <c r="I5" i="16" s="1"/>
  <c r="J8" i="16"/>
  <c r="J5" i="16" s="1"/>
  <c r="K8" i="16"/>
  <c r="K5" i="16" s="1"/>
  <c r="K6" i="16" s="1"/>
  <c r="L8" i="16"/>
  <c r="L5" i="16" s="1"/>
  <c r="M8" i="16"/>
  <c r="N8" i="16"/>
  <c r="N9" i="16" s="1"/>
  <c r="B8" i="16"/>
  <c r="B5" i="16" s="1"/>
  <c r="M9" i="16" l="1"/>
  <c r="E9" i="16"/>
  <c r="R15" i="16"/>
  <c r="R18" i="16"/>
  <c r="F6" i="16"/>
  <c r="R12" i="16"/>
  <c r="C9" i="16"/>
  <c r="J6" i="16"/>
  <c r="I6" i="16"/>
  <c r="D9" i="16"/>
  <c r="H9" i="16"/>
  <c r="I9" i="16"/>
  <c r="D5" i="16"/>
  <c r="D6" i="16" s="1"/>
  <c r="J9" i="16"/>
  <c r="K9" i="16"/>
  <c r="N5" i="16"/>
  <c r="G9" i="16"/>
  <c r="L9" i="16"/>
  <c r="M5" i="16"/>
  <c r="M6" i="16" s="1"/>
  <c r="O5" i="16"/>
  <c r="O9" i="16"/>
  <c r="L6" i="16"/>
  <c r="H6" i="16"/>
  <c r="C6" i="16"/>
  <c r="Q6" i="16" l="1"/>
  <c r="R11" i="16"/>
  <c r="T12" i="16"/>
  <c r="U12" i="16"/>
  <c r="S12" i="16"/>
  <c r="T15" i="16"/>
  <c r="U15" i="16"/>
  <c r="S15" i="16"/>
  <c r="R14" i="16"/>
  <c r="S14" i="16" s="1"/>
  <c r="T14" i="16" s="1"/>
  <c r="U14" i="16" s="1"/>
  <c r="R17" i="16"/>
  <c r="T18" i="16"/>
  <c r="U18" i="16"/>
  <c r="S18" i="16"/>
  <c r="R9" i="16"/>
  <c r="N6" i="16"/>
  <c r="O6" i="16"/>
  <c r="E6" i="16"/>
  <c r="H51" i="14"/>
  <c r="H52" i="14" s="1"/>
  <c r="H49" i="14"/>
  <c r="H48" i="14" s="1"/>
  <c r="S11" i="16" l="1"/>
  <c r="T11" i="16" s="1"/>
  <c r="U11" i="16" s="1"/>
  <c r="S17" i="16"/>
  <c r="T17" i="16" s="1"/>
  <c r="U17" i="16" s="1"/>
  <c r="R8" i="16"/>
  <c r="S9" i="16"/>
  <c r="U9" i="16"/>
  <c r="T9" i="16"/>
  <c r="R5" i="16" l="1"/>
  <c r="R6" i="16" s="1"/>
  <c r="S8" i="16"/>
  <c r="T8" i="16" l="1"/>
  <c r="S5" i="16"/>
  <c r="S6" i="16" s="1"/>
  <c r="U8" i="16" l="1"/>
  <c r="U5" i="16" s="1"/>
  <c r="T5" i="16"/>
  <c r="T6" i="16" s="1"/>
  <c r="U6" i="16" l="1"/>
  <c r="C12" i="5" l="1"/>
  <c r="C13" i="15" s="1"/>
  <c r="C8" i="5"/>
  <c r="C13" i="5" s="1"/>
  <c r="C20" i="5" s="1"/>
  <c r="C22" i="5" s="1"/>
  <c r="C24" i="5" s="1"/>
  <c r="C25" i="15"/>
  <c r="D26" i="14" s="1"/>
  <c r="D13" i="15"/>
  <c r="E13" i="15"/>
  <c r="F13" i="15"/>
  <c r="F14" i="15" s="1"/>
  <c r="C19" i="5"/>
  <c r="I6" i="14"/>
  <c r="H6" i="14"/>
  <c r="F58" i="14"/>
  <c r="C40" i="15"/>
  <c r="C18" i="14" s="1"/>
  <c r="D57" i="15"/>
  <c r="J6" i="14"/>
  <c r="K6" i="14" s="1"/>
  <c r="L6" i="14" s="1"/>
  <c r="D14" i="15" l="1"/>
  <c r="E14" i="15"/>
  <c r="F40" i="15"/>
  <c r="F18" i="14" s="1"/>
  <c r="L41" i="15"/>
  <c r="K41" i="15"/>
  <c r="J41" i="15"/>
  <c r="I41" i="15"/>
  <c r="H41" i="15"/>
  <c r="G41" i="15"/>
  <c r="F34" i="15"/>
  <c r="G34" i="15" s="1"/>
  <c r="H34" i="15" s="1"/>
  <c r="I34" i="15" s="1"/>
  <c r="J34" i="15" s="1"/>
  <c r="K34" i="15" s="1"/>
  <c r="L34" i="15" s="1"/>
  <c r="L11" i="15"/>
  <c r="K11" i="15"/>
  <c r="J11" i="15"/>
  <c r="I11" i="15"/>
  <c r="H11" i="15"/>
  <c r="G11" i="15"/>
  <c r="F53" i="15"/>
  <c r="E53" i="15"/>
  <c r="D53" i="15"/>
  <c r="C53" i="15"/>
  <c r="C17" i="15"/>
  <c r="E40" i="15"/>
  <c r="E18" i="14" s="1"/>
  <c r="D40" i="15"/>
  <c r="D18" i="14" s="1"/>
  <c r="D34" i="15"/>
  <c r="F25" i="15"/>
  <c r="E25" i="15"/>
  <c r="D25" i="15"/>
  <c r="F17" i="15"/>
  <c r="E17" i="15"/>
  <c r="D17" i="15"/>
  <c r="C9" i="15"/>
  <c r="K51" i="15"/>
  <c r="J51" i="15"/>
  <c r="I51" i="15"/>
  <c r="H51" i="15"/>
  <c r="G51" i="15"/>
  <c r="F51" i="15"/>
  <c r="E51" i="15"/>
  <c r="D51" i="15"/>
  <c r="C51" i="15"/>
  <c r="E26" i="14" l="1"/>
  <c r="E29" i="14"/>
  <c r="F29" i="14"/>
  <c r="D29" i="14"/>
  <c r="F54" i="15"/>
  <c r="C19" i="15"/>
  <c r="C16" i="14" s="1"/>
  <c r="C21" i="15"/>
  <c r="C36" i="15" s="1"/>
  <c r="C43" i="15" s="1"/>
  <c r="C15" i="15"/>
  <c r="C11" i="14"/>
  <c r="G29" i="14"/>
  <c r="E27" i="15"/>
  <c r="F26" i="14"/>
  <c r="F27" i="15"/>
  <c r="G27" i="14" s="1"/>
  <c r="G26" i="14"/>
  <c r="C27" i="15"/>
  <c r="D27" i="14" s="1"/>
  <c r="L19" i="14"/>
  <c r="J19" i="14"/>
  <c r="I19" i="14"/>
  <c r="H19" i="14"/>
  <c r="K19" i="14"/>
  <c r="G19" i="14"/>
  <c r="D27" i="15"/>
  <c r="E27" i="14" s="1"/>
  <c r="F18" i="15"/>
  <c r="D26" i="15"/>
  <c r="D18" i="15"/>
  <c r="D54" i="15"/>
  <c r="E54" i="15"/>
  <c r="E26" i="15"/>
  <c r="E18" i="15"/>
  <c r="F26" i="15"/>
  <c r="C55" i="15"/>
  <c r="D30" i="14" s="1"/>
  <c r="E34" i="15"/>
  <c r="C29" i="15" l="1"/>
  <c r="G27" i="15"/>
  <c r="C23" i="15"/>
  <c r="C33" i="15"/>
  <c r="C14" i="14"/>
  <c r="C38" i="15"/>
  <c r="C41" i="15"/>
  <c r="C19" i="14" s="1"/>
  <c r="C45" i="15"/>
  <c r="H27" i="14"/>
  <c r="F27" i="14"/>
  <c r="L27" i="15"/>
  <c r="K27" i="15"/>
  <c r="L27" i="14" s="1"/>
  <c r="J27" i="15"/>
  <c r="K27" i="14" s="1"/>
  <c r="I27" i="15"/>
  <c r="J27" i="14" s="1"/>
  <c r="H27" i="15"/>
  <c r="I27" i="14" s="1"/>
  <c r="C21" i="14" l="1"/>
  <c r="G4" i="13"/>
  <c r="G7" i="13"/>
  <c r="G10" i="13"/>
  <c r="D13" i="13"/>
  <c r="C13" i="13"/>
  <c r="D4" i="13"/>
  <c r="F10" i="13"/>
  <c r="E10" i="13"/>
  <c r="D10" i="13"/>
  <c r="C10" i="13"/>
  <c r="F7" i="13"/>
  <c r="E7" i="13"/>
  <c r="D7" i="13"/>
  <c r="C7" i="13"/>
  <c r="F4" i="13"/>
  <c r="E4" i="13"/>
  <c r="E5" i="13" s="1"/>
  <c r="C4" i="13"/>
  <c r="E8" i="13" l="1"/>
  <c r="F5" i="13"/>
  <c r="F8" i="13"/>
  <c r="F11" i="13"/>
  <c r="G11" i="13"/>
  <c r="G8" i="13"/>
  <c r="G5" i="13"/>
  <c r="E11" i="13"/>
  <c r="C8" i="7"/>
  <c r="C41" i="6"/>
  <c r="F6" i="12"/>
  <c r="E6" i="12"/>
  <c r="D6" i="12"/>
  <c r="D21" i="7" s="1"/>
  <c r="C6" i="12"/>
  <c r="C29" i="7"/>
  <c r="C21" i="7"/>
  <c r="C15" i="7"/>
  <c r="C25" i="7"/>
  <c r="F21" i="7"/>
  <c r="E21" i="7"/>
  <c r="B3" i="12"/>
  <c r="D3" i="12"/>
  <c r="D5" i="12" s="1"/>
  <c r="D25" i="7" s="1"/>
  <c r="E3" i="12"/>
  <c r="E5" i="12" s="1"/>
  <c r="E25" i="7" s="1"/>
  <c r="F3" i="12"/>
  <c r="F5" i="12" s="1"/>
  <c r="F25" i="7" s="1"/>
  <c r="F15" i="7"/>
  <c r="E15" i="7"/>
  <c r="D15" i="7"/>
  <c r="D16" i="7" l="1"/>
  <c r="E22" i="7"/>
  <c r="E16" i="7"/>
  <c r="F16" i="7"/>
  <c r="E26" i="7"/>
  <c r="F26" i="7"/>
  <c r="D22" i="7"/>
  <c r="F22" i="7"/>
  <c r="D26" i="7"/>
  <c r="C6" i="1" l="1"/>
  <c r="C24" i="7" l="1"/>
  <c r="C28" i="7"/>
  <c r="C5" i="7"/>
  <c r="C26" i="5" l="1"/>
  <c r="C29" i="5" s="1"/>
  <c r="C12" i="7"/>
  <c r="C10" i="7"/>
  <c r="C31" i="7"/>
  <c r="C27" i="7"/>
  <c r="C23" i="7"/>
  <c r="F19" i="5"/>
  <c r="F8" i="7" s="1"/>
  <c r="D6" i="5"/>
  <c r="D8" i="5" s="1"/>
  <c r="E37" i="6"/>
  <c r="F37" i="6"/>
  <c r="D37" i="6"/>
  <c r="D41" i="6"/>
  <c r="E41" i="6"/>
  <c r="F41" i="6"/>
  <c r="F29" i="6"/>
  <c r="E29" i="6"/>
  <c r="D29" i="6"/>
  <c r="D9" i="15" l="1"/>
  <c r="E13" i="13"/>
  <c r="E14" i="13" s="1"/>
  <c r="C28" i="5"/>
  <c r="F28" i="7"/>
  <c r="F24" i="7"/>
  <c r="C17" i="7"/>
  <c r="D5" i="7"/>
  <c r="D6" i="7" s="1"/>
  <c r="C14" i="7"/>
  <c r="C18" i="7"/>
  <c r="D21" i="15" l="1"/>
  <c r="D55" i="15"/>
  <c r="E30" i="14" s="1"/>
  <c r="D19" i="15"/>
  <c r="D15" i="15"/>
  <c r="D11" i="14"/>
  <c r="D12" i="14" s="1"/>
  <c r="D10" i="15"/>
  <c r="D27" i="7"/>
  <c r="D23" i="7"/>
  <c r="C20" i="7"/>
  <c r="C33" i="7"/>
  <c r="C4" i="6"/>
  <c r="C20" i="6" s="1"/>
  <c r="C14" i="1"/>
  <c r="C18" i="1" s="1"/>
  <c r="D16" i="14" l="1"/>
  <c r="D36" i="15"/>
  <c r="D14" i="14"/>
  <c r="D15" i="14" s="1"/>
  <c r="D33" i="15"/>
  <c r="D29" i="15"/>
  <c r="D22" i="15"/>
  <c r="D23" i="15"/>
  <c r="E19" i="5"/>
  <c r="E8" i="7" s="1"/>
  <c r="D19" i="5"/>
  <c r="D8" i="7" s="1"/>
  <c r="F12" i="5"/>
  <c r="E12" i="5"/>
  <c r="D12" i="5"/>
  <c r="E6" i="5"/>
  <c r="E8" i="5" s="1"/>
  <c r="F6" i="5"/>
  <c r="F8" i="5" s="1"/>
  <c r="F5" i="7" l="1"/>
  <c r="F10" i="7" s="1"/>
  <c r="F9" i="15"/>
  <c r="G13" i="13"/>
  <c r="D30" i="15"/>
  <c r="E5" i="7"/>
  <c r="E9" i="15"/>
  <c r="F13" i="13"/>
  <c r="F14" i="13" s="1"/>
  <c r="D41" i="15"/>
  <c r="D19" i="14" s="1"/>
  <c r="D21" i="14" s="1"/>
  <c r="D22" i="14" s="1"/>
  <c r="D38" i="15"/>
  <c r="D37" i="15"/>
  <c r="D43" i="15"/>
  <c r="E57" i="15"/>
  <c r="E9" i="7"/>
  <c r="D9" i="7"/>
  <c r="D28" i="7"/>
  <c r="D24" i="7"/>
  <c r="D10" i="7"/>
  <c r="D13" i="5"/>
  <c r="D20" i="5" s="1"/>
  <c r="E28" i="7"/>
  <c r="E24" i="7"/>
  <c r="F9" i="7"/>
  <c r="F23" i="7"/>
  <c r="E10" i="7"/>
  <c r="E23" i="7"/>
  <c r="E13" i="5"/>
  <c r="E20" i="5" s="1"/>
  <c r="F13" i="5"/>
  <c r="F20" i="5" s="1"/>
  <c r="F6" i="7" l="1"/>
  <c r="F27" i="7"/>
  <c r="E27" i="7"/>
  <c r="G14" i="13"/>
  <c r="E6" i="7"/>
  <c r="D45" i="15"/>
  <c r="D44" i="15"/>
  <c r="F11" i="14"/>
  <c r="F55" i="15"/>
  <c r="G30" i="14" s="1"/>
  <c r="F15" i="15"/>
  <c r="G9" i="15"/>
  <c r="F19" i="15"/>
  <c r="F16" i="14" s="1"/>
  <c r="F21" i="15"/>
  <c r="F10" i="15"/>
  <c r="E15" i="15"/>
  <c r="E11" i="14"/>
  <c r="E12" i="14" s="1"/>
  <c r="E10" i="15"/>
  <c r="E21" i="15"/>
  <c r="E19" i="15"/>
  <c r="E55" i="15"/>
  <c r="E59" i="15"/>
  <c r="E33" i="14" s="1"/>
  <c r="E32" i="14"/>
  <c r="E29" i="7"/>
  <c r="E31" i="7" s="1"/>
  <c r="F29" i="7"/>
  <c r="F31" i="7" s="1"/>
  <c r="F57" i="15"/>
  <c r="D29" i="7"/>
  <c r="D30" i="7" s="1"/>
  <c r="D12" i="7"/>
  <c r="D14" i="7" s="1"/>
  <c r="D22" i="5"/>
  <c r="D17" i="7" s="1"/>
  <c r="F22" i="5"/>
  <c r="F12" i="7"/>
  <c r="E22" i="5"/>
  <c r="E12" i="7"/>
  <c r="C23" i="1"/>
  <c r="D24" i="5" l="1"/>
  <c r="D4" i="6" s="1"/>
  <c r="D20" i="6" s="1"/>
  <c r="G11" i="14"/>
  <c r="G55" i="15"/>
  <c r="J55" i="15"/>
  <c r="H55" i="15"/>
  <c r="F30" i="14"/>
  <c r="K55" i="15"/>
  <c r="I55" i="15"/>
  <c r="L55" i="15"/>
  <c r="F12" i="14"/>
  <c r="E36" i="15"/>
  <c r="E29" i="15"/>
  <c r="E30" i="15" s="1"/>
  <c r="E33" i="15"/>
  <c r="E22" i="15"/>
  <c r="E23" i="15"/>
  <c r="E14" i="14"/>
  <c r="F36" i="15"/>
  <c r="F29" i="15"/>
  <c r="F33" i="15"/>
  <c r="F23" i="15"/>
  <c r="F22" i="15"/>
  <c r="F14" i="14"/>
  <c r="E16" i="14"/>
  <c r="L19" i="15"/>
  <c r="L16" i="14" s="1"/>
  <c r="G19" i="15"/>
  <c r="J19" i="15"/>
  <c r="J16" i="14" s="1"/>
  <c r="H19" i="15"/>
  <c r="K19" i="15"/>
  <c r="K16" i="14" s="1"/>
  <c r="I19" i="15"/>
  <c r="I16" i="14" s="1"/>
  <c r="K15" i="15"/>
  <c r="L15" i="15"/>
  <c r="I15" i="15"/>
  <c r="J15" i="15"/>
  <c r="G15" i="15"/>
  <c r="H15" i="15"/>
  <c r="H9" i="15"/>
  <c r="G12" i="14"/>
  <c r="F30" i="7"/>
  <c r="F32" i="14"/>
  <c r="F58" i="15"/>
  <c r="F59" i="15"/>
  <c r="F33" i="14" s="1"/>
  <c r="E30" i="7"/>
  <c r="D31" i="7"/>
  <c r="D32" i="14"/>
  <c r="D37" i="14" s="1"/>
  <c r="E58" i="15"/>
  <c r="D59" i="15"/>
  <c r="C53" i="14"/>
  <c r="D18" i="7"/>
  <c r="D33" i="7" s="1"/>
  <c r="D13" i="7"/>
  <c r="D26" i="5"/>
  <c r="E13" i="7"/>
  <c r="E18" i="7"/>
  <c r="E14" i="7"/>
  <c r="F13" i="7"/>
  <c r="F14" i="7"/>
  <c r="F18" i="7"/>
  <c r="E24" i="5"/>
  <c r="E17" i="7"/>
  <c r="F24" i="5"/>
  <c r="F17" i="7"/>
  <c r="D20" i="7" l="1"/>
  <c r="G33" i="15"/>
  <c r="H11" i="14"/>
  <c r="H12" i="14" s="1"/>
  <c r="I9" i="15"/>
  <c r="I13" i="15" s="1"/>
  <c r="E15" i="14"/>
  <c r="J30" i="14"/>
  <c r="K30" i="14"/>
  <c r="G17" i="15"/>
  <c r="G18" i="15" s="1"/>
  <c r="G16" i="14"/>
  <c r="H53" i="15"/>
  <c r="I30" i="14"/>
  <c r="D19" i="7"/>
  <c r="H13" i="15"/>
  <c r="H17" i="15"/>
  <c r="H16" i="14"/>
  <c r="E41" i="15"/>
  <c r="E19" i="14" s="1"/>
  <c r="E21" i="14" s="1"/>
  <c r="E43" i="15"/>
  <c r="E37" i="15"/>
  <c r="E38" i="15"/>
  <c r="L30" i="14"/>
  <c r="G53" i="15"/>
  <c r="H30" i="14"/>
  <c r="F38" i="15"/>
  <c r="F41" i="15"/>
  <c r="F19" i="14" s="1"/>
  <c r="F21" i="14" s="1"/>
  <c r="F43" i="15"/>
  <c r="F37" i="15"/>
  <c r="J33" i="15"/>
  <c r="K33" i="15"/>
  <c r="L33" i="15"/>
  <c r="I33" i="15"/>
  <c r="H33" i="15"/>
  <c r="D29" i="5"/>
  <c r="D28" i="5"/>
  <c r="G13" i="15"/>
  <c r="F15" i="14"/>
  <c r="F30" i="15"/>
  <c r="D33" i="14"/>
  <c r="K59" i="15"/>
  <c r="J59" i="15"/>
  <c r="H59" i="15"/>
  <c r="I59" i="15"/>
  <c r="G59" i="15"/>
  <c r="L59" i="15"/>
  <c r="L39" i="14"/>
  <c r="K39" i="14"/>
  <c r="J39" i="14"/>
  <c r="I39" i="14"/>
  <c r="H39" i="14"/>
  <c r="G39" i="14"/>
  <c r="G34" i="7"/>
  <c r="I34" i="7"/>
  <c r="H34" i="7"/>
  <c r="J34" i="7"/>
  <c r="K34" i="7"/>
  <c r="F26" i="5"/>
  <c r="F4" i="6"/>
  <c r="F20" i="6" s="1"/>
  <c r="E20" i="7"/>
  <c r="E19" i="7"/>
  <c r="E33" i="7"/>
  <c r="E26" i="5"/>
  <c r="E4" i="6"/>
  <c r="E20" i="6" s="1"/>
  <c r="F20" i="7"/>
  <c r="F19" i="7"/>
  <c r="F33" i="7"/>
  <c r="G21" i="15" l="1"/>
  <c r="I53" i="15"/>
  <c r="I25" i="15" s="1"/>
  <c r="J26" i="14" s="1"/>
  <c r="H21" i="15"/>
  <c r="H14" i="14" s="1"/>
  <c r="H32" i="15"/>
  <c r="H36" i="15" s="1"/>
  <c r="H40" i="15" s="1"/>
  <c r="H18" i="14" s="1"/>
  <c r="G22" i="15"/>
  <c r="G14" i="14"/>
  <c r="G23" i="15"/>
  <c r="E22" i="14"/>
  <c r="E37" i="14"/>
  <c r="F22" i="14"/>
  <c r="E45" i="15"/>
  <c r="E44" i="15"/>
  <c r="J29" i="14"/>
  <c r="H22" i="15"/>
  <c r="H23" i="15"/>
  <c r="G32" i="15"/>
  <c r="J9" i="15"/>
  <c r="I11" i="14"/>
  <c r="I12" i="14" s="1"/>
  <c r="I17" i="15"/>
  <c r="I18" i="15" s="1"/>
  <c r="E29" i="5"/>
  <c r="E28" i="5"/>
  <c r="F37" i="14"/>
  <c r="I29" i="14"/>
  <c r="H54" i="15"/>
  <c r="H25" i="15"/>
  <c r="H29" i="15" s="1"/>
  <c r="F28" i="5"/>
  <c r="F29" i="5"/>
  <c r="F45" i="15"/>
  <c r="F44" i="15"/>
  <c r="G54" i="15"/>
  <c r="H29" i="14"/>
  <c r="G25" i="15"/>
  <c r="H18" i="15"/>
  <c r="K33" i="14"/>
  <c r="L33" i="14"/>
  <c r="G57" i="15"/>
  <c r="G32" i="14" s="1"/>
  <c r="G33" i="14"/>
  <c r="I33" i="14"/>
  <c r="I57" i="15"/>
  <c r="H33" i="14"/>
  <c r="H57" i="15"/>
  <c r="J33" i="14"/>
  <c r="J57" i="15"/>
  <c r="I54" i="15" l="1"/>
  <c r="H38" i="15"/>
  <c r="G36" i="15"/>
  <c r="H37" i="15" s="1"/>
  <c r="I21" i="15"/>
  <c r="I32" i="15" s="1"/>
  <c r="I36" i="15" s="1"/>
  <c r="I37" i="15" s="1"/>
  <c r="H26" i="14"/>
  <c r="G26" i="15"/>
  <c r="J11" i="14"/>
  <c r="J12" i="14" s="1"/>
  <c r="J17" i="15"/>
  <c r="K9" i="15"/>
  <c r="J53" i="15"/>
  <c r="J13" i="15"/>
  <c r="H15" i="14"/>
  <c r="H21" i="14"/>
  <c r="G15" i="14"/>
  <c r="G21" i="14"/>
  <c r="G22" i="14" s="1"/>
  <c r="G37" i="14"/>
  <c r="G41" i="14" s="1"/>
  <c r="H43" i="15"/>
  <c r="I26" i="15"/>
  <c r="H26" i="15"/>
  <c r="I26" i="14"/>
  <c r="G29" i="15"/>
  <c r="G30" i="15" s="1"/>
  <c r="J58" i="15"/>
  <c r="J32" i="14"/>
  <c r="G58" i="15"/>
  <c r="H32" i="14"/>
  <c r="H58" i="15"/>
  <c r="I58" i="15"/>
  <c r="I32" i="14"/>
  <c r="G38" i="15" l="1"/>
  <c r="I14" i="14"/>
  <c r="I21" i="14" s="1"/>
  <c r="I22" i="14" s="1"/>
  <c r="G37" i="15"/>
  <c r="I22" i="15"/>
  <c r="G40" i="15"/>
  <c r="G18" i="14" s="1"/>
  <c r="I23" i="15"/>
  <c r="I40" i="15"/>
  <c r="I18" i="14" s="1"/>
  <c r="H22" i="14"/>
  <c r="I29" i="15"/>
  <c r="I30" i="15" s="1"/>
  <c r="I38" i="15"/>
  <c r="K13" i="15"/>
  <c r="K17" i="15"/>
  <c r="K18" i="15" s="1"/>
  <c r="L9" i="15"/>
  <c r="K11" i="14"/>
  <c r="K12" i="14" s="1"/>
  <c r="K53" i="15"/>
  <c r="K57" i="15"/>
  <c r="I15" i="14"/>
  <c r="J21" i="15"/>
  <c r="J18" i="15"/>
  <c r="G43" i="15"/>
  <c r="H44" i="15" s="1"/>
  <c r="H30" i="15"/>
  <c r="K29" i="14"/>
  <c r="J54" i="15"/>
  <c r="J25" i="15"/>
  <c r="H45" i="15"/>
  <c r="H37" i="14"/>
  <c r="H41" i="14" s="1"/>
  <c r="I43" i="15" l="1"/>
  <c r="I37" i="14"/>
  <c r="I41" i="14" s="1"/>
  <c r="K21" i="15"/>
  <c r="K14" i="14" s="1"/>
  <c r="K23" i="15"/>
  <c r="J26" i="15"/>
  <c r="K26" i="14"/>
  <c r="G44" i="15"/>
  <c r="G45" i="15"/>
  <c r="J29" i="15"/>
  <c r="J30" i="15" s="1"/>
  <c r="J14" i="14"/>
  <c r="J23" i="15"/>
  <c r="J22" i="15"/>
  <c r="J32" i="15"/>
  <c r="J36" i="15" s="1"/>
  <c r="K32" i="14"/>
  <c r="K58" i="15"/>
  <c r="L17" i="15"/>
  <c r="L18" i="15" s="1"/>
  <c r="L11" i="14"/>
  <c r="L12" i="14" s="1"/>
  <c r="L53" i="15"/>
  <c r="L13" i="15"/>
  <c r="L57" i="15"/>
  <c r="K54" i="15"/>
  <c r="L29" i="14"/>
  <c r="K25" i="15"/>
  <c r="K32" i="15" l="1"/>
  <c r="K36" i="15" s="1"/>
  <c r="I45" i="15"/>
  <c r="I44" i="15"/>
  <c r="K29" i="15"/>
  <c r="K30" i="15" s="1"/>
  <c r="K22" i="15"/>
  <c r="K38" i="15"/>
  <c r="K37" i="15"/>
  <c r="K40" i="15"/>
  <c r="K18" i="14" s="1"/>
  <c r="L54" i="15"/>
  <c r="L25" i="15"/>
  <c r="L26" i="15" s="1"/>
  <c r="J21" i="14"/>
  <c r="J15" i="14"/>
  <c r="J38" i="15"/>
  <c r="J40" i="15"/>
  <c r="J18" i="14" s="1"/>
  <c r="J43" i="15"/>
  <c r="J37" i="15"/>
  <c r="L58" i="15"/>
  <c r="L32" i="14"/>
  <c r="K21" i="14"/>
  <c r="K15" i="14"/>
  <c r="L26" i="14"/>
  <c r="K26" i="15"/>
  <c r="L21" i="15"/>
  <c r="K22" i="14" l="1"/>
  <c r="K43" i="15"/>
  <c r="K45" i="15" s="1"/>
  <c r="J44" i="15"/>
  <c r="J45" i="15"/>
  <c r="J22" i="14"/>
  <c r="J37" i="14"/>
  <c r="J41" i="14" s="1"/>
  <c r="K44" i="15"/>
  <c r="K37" i="14"/>
  <c r="K41" i="14" s="1"/>
  <c r="L23" i="15"/>
  <c r="L22" i="15"/>
  <c r="L14" i="14"/>
  <c r="L29" i="15"/>
  <c r="L30" i="15" s="1"/>
  <c r="L32" i="15"/>
  <c r="L36" i="15" s="1"/>
  <c r="L38" i="15" l="1"/>
  <c r="L37" i="15"/>
  <c r="L40" i="15"/>
  <c r="L18" i="14" s="1"/>
  <c r="L21" i="14"/>
  <c r="L37" i="14" s="1"/>
  <c r="L43" i="14" s="1"/>
  <c r="L15" i="14"/>
  <c r="L43" i="15" l="1"/>
  <c r="L44" i="15" s="1"/>
  <c r="L45" i="15"/>
  <c r="L22" i="14"/>
  <c r="C49" i="14" l="1"/>
  <c r="L41" i="14"/>
  <c r="C48" i="14" s="1"/>
  <c r="C50" i="14" l="1"/>
  <c r="C57" i="14" s="1"/>
  <c r="C60" i="14" l="1"/>
  <c r="F57" i="14" s="1"/>
  <c r="D48" i="14"/>
  <c r="D49" i="14"/>
  <c r="F59" i="14" l="1"/>
  <c r="H47" i="14" s="1"/>
  <c r="D5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tc={32D7D37B-2D88-4395-B586-9B03DFE728BD}</author>
    <author>tc={BCCA02B3-9431-4DF9-A8ED-095458FB1D34}</author>
    <author>tc={44CA6962-964B-4E80-90C8-C97E71C45EC1}</author>
    <author>tc={FEFE1FD9-3E3B-E340-BE79-DC6AEA39C792}</author>
    <author>tc={406DE232-E70C-3E48-A212-30CFA9B0C503}</author>
    <author>tc={975740BB-7991-4B4D-B97A-51DB42516FEB}</author>
    <author>tc={4F562AF1-4C34-4C56-972A-0A1E4AD74A7F}</author>
    <author>tc={57575334-7165-F34C-8523-EF731395442E}</author>
    <author>tc={BBD97B44-C464-4CBB-8910-A0327B9485F2}</author>
    <author>tc={1E9701F1-E0F6-4267-953F-8C211871DF64}</author>
  </authors>
  <commentList>
    <comment ref="C12" authorId="0" shapeId="0" xr:uid="{32D7D37B-2D88-4395-B586-9B03DFE728B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
      </text>
    </comment>
    <comment ref="C16" authorId="1" shapeId="0" xr:uid="{BCCA02B3-9431-4DF9-A8ED-095458FB1D34}">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Software (System &amp; Application)
</t>
      </text>
    </comment>
    <comment ref="B20" authorId="2" shapeId="0" xr:uid="{44CA6962-964B-4E80-90C8-C97E71C45EC1}">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Market Cap
</t>
      </text>
    </comment>
    <comment ref="C20" authorId="3" shapeId="0" xr:uid="{FEFE1FD9-3E3B-E340-BE79-DC6AEA39C79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93.5B</t>
      </text>
    </comment>
    <comment ref="F20" authorId="4" shapeId="0" xr:uid="{406DE232-E70C-3E48-A212-30CFA9B0C503}">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8/07/2024
</t>
      </text>
    </comment>
    <comment ref="C21" authorId="5" shapeId="0" xr:uid="{975740BB-7991-4B4D-B97A-51DB42516FE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Annual Report Long Term Debt</t>
      </text>
    </comment>
    <comment ref="D21" authorId="6" shapeId="0" xr:uid="{4F562AF1-4C34-4C56-972A-0A1E4AD74A7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Attenzione alle unità di misura</t>
      </text>
    </comment>
    <comment ref="F21" authorId="7" shapeId="0" xr:uid="{57575334-7165-F34C-8523-EF731395442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Annual Report</t>
      </text>
    </comment>
    <comment ref="B23" authorId="8" shapeId="0" xr:uid="{BBD97B44-C464-4CBB-8910-A0327B9485F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E/V</t>
      </text>
    </comment>
    <comment ref="B24" authorId="9" shapeId="0" xr:uid="{1E9701F1-E0F6-4267-953F-8C211871DF64}">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D/V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tc={28D678E0-D464-4654-91F6-53720744AD00}</author>
  </authors>
  <commentList>
    <comment ref="G43" authorId="0" shapeId="0" xr:uid="{28D678E0-D464-4654-91F6-53720744AD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Copiando le formule da C43 a E43 viene il valore corretto. Per quanto riguarda il check, a Total Assets va sottratto non solo Total Liabilities ma anche "Reedemable Non Controlling Interests" per ottenere il valore corretto di Total StockHolder Equity ed in tal modo si otterrà lo stesso risultato di 6.153.258,00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tc={543B5D68-772B-4430-956C-8339EF04388A}</author>
    <author>tc={E34DAC7C-487F-41A3-9789-7C82FEFD5CEC}</author>
    <author>tc={984288F1-3976-4A2C-87BB-C3EDF494B4C8}</author>
  </authors>
  <commentList>
    <comment ref="B19" authorId="0" shapeId="0" xr:uid="{543B5D68-772B-4430-956C-8339EF04388A}">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SG&amp;A, R&amp;D, S&amp;M
</t>
      </text>
    </comment>
    <comment ref="B20" authorId="1" shapeId="0" xr:uid="{E34DAC7C-487F-41A3-9789-7C82FEFD5CE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EBIT oppure no?
Réponse :
    Di base sarebbe EBIT, qui però si andrà ad operare in un altro modo: poco sotto c'è la voce Other income(expenses),net e subito dopo c'è EBT. Questo vuol dire che in OI,n sono compresi sia componenti di reddito non operative che la parte finanziaria tipo interest expenses (questa è una mia deduzione ma controlla la nota integrativa per assicurarti che sia così). Quello che si potrebbe fare e scomporre quel OI,n, isolare Other Income dalla parte sugli interessi, aggiungere Oth.Inc a Operating Inc per ottenere EBIT (comprese altri voci nette di reddito) e sottrarre la parte relativa agli interessi finanziari per ottenere EBT. L'obiettivo di ciò è isolare EBIT perché dalla riclassificazione fatta in bilancio si passa direttamente da operative income a EBT (data l'aggregazione di componenti non operative in senso stretto con quelle finanziarie)</t>
      </text>
    </comment>
    <comment ref="B22" authorId="2" shapeId="0" xr:uid="{984288F1-3976-4A2C-87BB-C3EDF494B4C8}">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Pre-tax income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tc={DD4F05CA-6026-4613-9A46-AFDBE11FFFA8}</author>
    <author>tc={5C486FF3-B530-46C7-9DC4-BA8BAE7A97A0}</author>
    <author>tc={6FB05D7F-6FB1-46E4-B79D-CEA343EBFF1B}</author>
    <author>tc={7700A6B4-021C-4ADE-8517-96AA99240A57}</author>
    <author>tc={E4AA8959-4C49-4F64-8665-E7F49E1071EC}</author>
  </authors>
  <commentList>
    <comment ref="N11" authorId="0" shapeId="0" xr:uid="{DD4F05CA-6026-4613-9A46-AFDBE11FFFA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In generale per forecasting fare riferimento a quanto scritto in bilancio per le previsioni del management, sfruttare statistiche passate (coerenti e verosimili) e fare manipolazioni verosimili li dove necessario</t>
      </text>
    </comment>
    <comment ref="B13" authorId="1" shapeId="0" xr:uid="{5C486FF3-B530-46C7-9DC4-BA8BAE7A97A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Fare check denominazione</t>
      </text>
    </comment>
    <comment ref="G32" authorId="2" shapeId="0" xr:uid="{6FB05D7F-6FB1-46E4-B79D-CEA343EBFF1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Ho invertito segno senno veniva EBT&gt;EBIT (?)
</t>
      </text>
    </comment>
    <comment ref="B36" authorId="3" shapeId="0" xr:uid="{7700A6B4-021C-4ADE-8517-96AA99240A57}">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Adjusted
</t>
      </text>
    </comment>
    <comment ref="B40" authorId="4" shapeId="0" xr:uid="{E4AA8959-4C49-4F64-8665-E7F49E1071E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quelle di CF o quelle di IS?
Réponse :
    IS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tc={88AED6F2-5073-4BC3-AA81-3C4D14DDE30D}</author>
    <author>tc={C803F3BC-4E1B-47E4-8BAA-8D8BB88B7AD1}</author>
    <author>tc={5507B7B0-C963-4467-9BEB-AB9199E64CA0}</author>
    <author>tc={9CFF8ADE-F463-4E0F-82CB-69061B421BE4}</author>
  </authors>
  <commentList>
    <comment ref="C52" authorId="0" shapeId="0" xr:uid="{88AED6F2-5073-4BC3-AA81-3C4D14DDE30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Per convenzione 2%. Per le aziende che operano in paesi "sviluppati" deve riflettere l'obiettivo LT d'inflazione, per le imprese operanti in paesi emergenti può anche essere più alto ma va motivato.</t>
      </text>
    </comment>
    <comment ref="E52" authorId="1" shapeId="0" xr:uid="{C803F3BC-4E1B-47E4-8BAA-8D8BB88B7AD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convenzione</t>
      </text>
    </comment>
    <comment ref="E53" authorId="2" shapeId="0" xr:uid="{5507B7B0-C963-4467-9BEB-AB9199E64CA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convenzione</t>
      </text>
    </comment>
    <comment ref="F58" authorId="3" shapeId="0" xr:uid="{9CFF8ADE-F463-4E0F-82CB-69061B421BE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Attenzione alle unità di misura, bisogna correggere quello del numero delle azioni, così risultano esserci 151,98 miliardi di azioni mentre in realtà sono 151,98 milioni
Réponse :
    Già corretto io al volo</t>
      </text>
    </comment>
  </commentList>
</comments>
</file>

<file path=xl/sharedStrings.xml><?xml version="1.0" encoding="utf-8"?>
<sst xmlns="http://schemas.openxmlformats.org/spreadsheetml/2006/main" count="1029" uniqueCount="646">
  <si>
    <t>TREASURY 10-YEARS</t>
  </si>
  <si>
    <t>SYNOPSYS</t>
  </si>
  <si>
    <t>NASDAQ</t>
  </si>
  <si>
    <t>Date</t>
  </si>
  <si>
    <t>Price</t>
  </si>
  <si>
    <t>Open</t>
  </si>
  <si>
    <t>High</t>
  </si>
  <si>
    <t>Low</t>
  </si>
  <si>
    <t>Change %</t>
  </si>
  <si>
    <t>Var. %</t>
  </si>
  <si>
    <t>Data</t>
  </si>
  <si>
    <t>covarianza titolo mercato</t>
  </si>
  <si>
    <t>06/30/2024</t>
  </si>
  <si>
    <t>30.06.2024</t>
  </si>
  <si>
    <t>varianza mercato</t>
  </si>
  <si>
    <t>06/23/2024</t>
  </si>
  <si>
    <t>23.06.2024</t>
  </si>
  <si>
    <t>06/16/2024</t>
  </si>
  <si>
    <t>16.06.2024</t>
  </si>
  <si>
    <t>Levered Beta</t>
  </si>
  <si>
    <t>09.06.2024</t>
  </si>
  <si>
    <t>02.06.2024</t>
  </si>
  <si>
    <t>05/26/2024</t>
  </si>
  <si>
    <t>26.05.2024</t>
  </si>
  <si>
    <t>05/19/2024</t>
  </si>
  <si>
    <t>19.05.2024</t>
  </si>
  <si>
    <t>12.05.2024</t>
  </si>
  <si>
    <t>05.05.2024</t>
  </si>
  <si>
    <t>04/28/2024</t>
  </si>
  <si>
    <t>28.04.2024</t>
  </si>
  <si>
    <t>04/21/2024</t>
  </si>
  <si>
    <t>21.04.2024</t>
  </si>
  <si>
    <t>04/14/2024</t>
  </si>
  <si>
    <t>14.04.2024</t>
  </si>
  <si>
    <t>07.04.2024</t>
  </si>
  <si>
    <t>03/31/2024</t>
  </si>
  <si>
    <t>31.03.2024</t>
  </si>
  <si>
    <t>03/24/2024</t>
  </si>
  <si>
    <t>24.03.2024</t>
  </si>
  <si>
    <t>03/17/2024</t>
  </si>
  <si>
    <t>17.03.2024</t>
  </si>
  <si>
    <t>10.03.2024</t>
  </si>
  <si>
    <t>03.03.2024</t>
  </si>
  <si>
    <t>02/25/2024</t>
  </si>
  <si>
    <t>25.02.2024</t>
  </si>
  <si>
    <t>02/18/2024</t>
  </si>
  <si>
    <t>18.02.2024</t>
  </si>
  <si>
    <t>11.02.2024</t>
  </si>
  <si>
    <t>04.02.2024</t>
  </si>
  <si>
    <t>01/28/2024</t>
  </si>
  <si>
    <t>28.01.2024</t>
  </si>
  <si>
    <t>01/21/2024</t>
  </si>
  <si>
    <t>21.01.2024</t>
  </si>
  <si>
    <t>01/14/2024</t>
  </si>
  <si>
    <t>14.01.2024</t>
  </si>
  <si>
    <t>07.01.2024</t>
  </si>
  <si>
    <t>12/31/2023</t>
  </si>
  <si>
    <t>31.12.2023</t>
  </si>
  <si>
    <t>12/24/2023</t>
  </si>
  <si>
    <t>24.12.2023</t>
  </si>
  <si>
    <t>12/17/2023</t>
  </si>
  <si>
    <t>17.12.2023</t>
  </si>
  <si>
    <t>10.12.2023</t>
  </si>
  <si>
    <t>03.12.2023</t>
  </si>
  <si>
    <t>11/26/2023</t>
  </si>
  <si>
    <t>26.11.2023</t>
  </si>
  <si>
    <t>11/19/2023</t>
  </si>
  <si>
    <t>19.11.2023</t>
  </si>
  <si>
    <t>12.11.2023</t>
  </si>
  <si>
    <t>05.11.2023</t>
  </si>
  <si>
    <t>10/29/2023</t>
  </si>
  <si>
    <t>29.10.2023</t>
  </si>
  <si>
    <t>10/22/2023</t>
  </si>
  <si>
    <t>22.10.2023</t>
  </si>
  <si>
    <t>10/15/2023</t>
  </si>
  <si>
    <t>15.10.2023</t>
  </si>
  <si>
    <t>08.10.2023</t>
  </si>
  <si>
    <t>01.10.2023</t>
  </si>
  <si>
    <t>09/24/2023</t>
  </si>
  <si>
    <t>24.09.2023</t>
  </si>
  <si>
    <t>09/17/2023</t>
  </si>
  <si>
    <t>17.09.2023</t>
  </si>
  <si>
    <t>10.09.2023</t>
  </si>
  <si>
    <t>03.09.2023</t>
  </si>
  <si>
    <t>08/27/2023</t>
  </si>
  <si>
    <t>27.08.2023</t>
  </si>
  <si>
    <t>08/20/2023</t>
  </si>
  <si>
    <t>20.08.2023</t>
  </si>
  <si>
    <t>08/13/2023</t>
  </si>
  <si>
    <t>13.08.2023</t>
  </si>
  <si>
    <t>06.08.2023</t>
  </si>
  <si>
    <t>07/30/2023</t>
  </si>
  <si>
    <t>30.07.2023</t>
  </si>
  <si>
    <t>07/23/2023</t>
  </si>
  <si>
    <t>23.07.2023</t>
  </si>
  <si>
    <t>07/16/2023</t>
  </si>
  <si>
    <t>16.07.2023</t>
  </si>
  <si>
    <t>09.07.2023</t>
  </si>
  <si>
    <t>02.07.2023</t>
  </si>
  <si>
    <t>06/25/2023</t>
  </si>
  <si>
    <t>25.06.2023</t>
  </si>
  <si>
    <t>06/18/2023</t>
  </si>
  <si>
    <t>18.06.2023</t>
  </si>
  <si>
    <t>11.06.2023</t>
  </si>
  <si>
    <t>04.06.2023</t>
  </si>
  <si>
    <t>05/28/2023</t>
  </si>
  <si>
    <t>28.05.2023</t>
  </si>
  <si>
    <t>05/21/2023</t>
  </si>
  <si>
    <t>21.05.2023</t>
  </si>
  <si>
    <t>05/14/2023</t>
  </si>
  <si>
    <t>14.05.2023</t>
  </si>
  <si>
    <t>07.05.2023</t>
  </si>
  <si>
    <t>04/30/2023</t>
  </si>
  <si>
    <t>30.04.2023</t>
  </si>
  <si>
    <t>04/23/2023</t>
  </si>
  <si>
    <t>23.04.2023</t>
  </si>
  <si>
    <t>04/16/2023</t>
  </si>
  <si>
    <t>16.04.2023</t>
  </si>
  <si>
    <t>09.04.2023</t>
  </si>
  <si>
    <t>02.04.2023</t>
  </si>
  <si>
    <t>03/26/2023</t>
  </si>
  <si>
    <t>26.03.2023</t>
  </si>
  <si>
    <t>03/19/2023</t>
  </si>
  <si>
    <t>19.03.2023</t>
  </si>
  <si>
    <t>12.03.2023</t>
  </si>
  <si>
    <t>05.03.2023</t>
  </si>
  <si>
    <t>02/26/2023</t>
  </si>
  <si>
    <t>26.02.2023</t>
  </si>
  <si>
    <t>02/19/2023</t>
  </si>
  <si>
    <t>19.02.2023</t>
  </si>
  <si>
    <t>12.02.2023</t>
  </si>
  <si>
    <t>05.02.2023</t>
  </si>
  <si>
    <t>01/29/2023</t>
  </si>
  <si>
    <t>29.01.2023</t>
  </si>
  <si>
    <t>01/22/2023</t>
  </si>
  <si>
    <t>22.01.2023</t>
  </si>
  <si>
    <t>01/15/2023</t>
  </si>
  <si>
    <t>15.01.2023</t>
  </si>
  <si>
    <t>08.01.2023</t>
  </si>
  <si>
    <t>01.01.2023</t>
  </si>
  <si>
    <t>12/25/2022</t>
  </si>
  <si>
    <t>25.12.2022</t>
  </si>
  <si>
    <t>12/18/2022</t>
  </si>
  <si>
    <t>18.12.2022</t>
  </si>
  <si>
    <t>11.12.2022</t>
  </si>
  <si>
    <t>04.12.2022</t>
  </si>
  <si>
    <t>11/27/2022</t>
  </si>
  <si>
    <t>27.11.2022</t>
  </si>
  <si>
    <t>11/20/2022</t>
  </si>
  <si>
    <t>20.11.2022</t>
  </si>
  <si>
    <t>11/13/2022</t>
  </si>
  <si>
    <t>13.11.2022</t>
  </si>
  <si>
    <t>06.11.2022</t>
  </si>
  <si>
    <t>10/30/2022</t>
  </si>
  <si>
    <t>30.10.2022</t>
  </si>
  <si>
    <t>10/23/2022</t>
  </si>
  <si>
    <t>23.10.2022</t>
  </si>
  <si>
    <t>10/16/2022</t>
  </si>
  <si>
    <t>16.10.2022</t>
  </si>
  <si>
    <t>09.10.2022</t>
  </si>
  <si>
    <t>02.10.2022</t>
  </si>
  <si>
    <t>09/25/2022</t>
  </si>
  <si>
    <t>25.09.2022</t>
  </si>
  <si>
    <t>09/18/2022</t>
  </si>
  <si>
    <t>18.09.2022</t>
  </si>
  <si>
    <t>11.09.2022</t>
  </si>
  <si>
    <t>04.09.2022</t>
  </si>
  <si>
    <t>08/28/2022</t>
  </si>
  <si>
    <t>28.08.2022</t>
  </si>
  <si>
    <t>08/21/2022</t>
  </si>
  <si>
    <t>21.08.2022</t>
  </si>
  <si>
    <t>08/14/2022</t>
  </si>
  <si>
    <t>14.08.2022</t>
  </si>
  <si>
    <t>07.08.2022</t>
  </si>
  <si>
    <t>07/31/2022</t>
  </si>
  <si>
    <t>31.07.2022</t>
  </si>
  <si>
    <t>07/24/2022</t>
  </si>
  <si>
    <t>24.07.2022</t>
  </si>
  <si>
    <t>07/17/2022</t>
  </si>
  <si>
    <t>17.07.2022</t>
  </si>
  <si>
    <t>10.07.2022</t>
  </si>
  <si>
    <t>03.07.2022</t>
  </si>
  <si>
    <t>06/26/2022</t>
  </si>
  <si>
    <t>26.06.2022</t>
  </si>
  <si>
    <t>06/19/2022</t>
  </si>
  <si>
    <t>19.06.2022</t>
  </si>
  <si>
    <t>12.06.2022</t>
  </si>
  <si>
    <t>05.06.2022</t>
  </si>
  <si>
    <t>05/29/2022</t>
  </si>
  <si>
    <t>29.05.2022</t>
  </si>
  <si>
    <t>05/22/2022</t>
  </si>
  <si>
    <t>22.05.2022</t>
  </si>
  <si>
    <t>05/15/2022</t>
  </si>
  <si>
    <t>15.05.2022</t>
  </si>
  <si>
    <t>08.05.2022</t>
  </si>
  <si>
    <t>01.05.2022</t>
  </si>
  <si>
    <t>04/24/2022</t>
  </si>
  <si>
    <t>24.04.2022</t>
  </si>
  <si>
    <t>04/17/2022</t>
  </si>
  <si>
    <t>17.04.2022</t>
  </si>
  <si>
    <t>10.04.2022</t>
  </si>
  <si>
    <t>03.04.2022</t>
  </si>
  <si>
    <t>03/27/2022</t>
  </si>
  <si>
    <t>27.03.2022</t>
  </si>
  <si>
    <t>03/20/2022</t>
  </si>
  <si>
    <t>20.03.2022</t>
  </si>
  <si>
    <t>03/13/2022</t>
  </si>
  <si>
    <t>13.03.2022</t>
  </si>
  <si>
    <t>06.03.2022</t>
  </si>
  <si>
    <t>02/27/2022</t>
  </si>
  <si>
    <t>27.02.2022</t>
  </si>
  <si>
    <t>02/20/2022</t>
  </si>
  <si>
    <t>20.02.2022</t>
  </si>
  <si>
    <t>02/13/2022</t>
  </si>
  <si>
    <t>13.02.2022</t>
  </si>
  <si>
    <t>06.02.2022</t>
  </si>
  <si>
    <t>01/30/2022</t>
  </si>
  <si>
    <t>30.01.2022</t>
  </si>
  <si>
    <t>01/23/2022</t>
  </si>
  <si>
    <t>23.01.2022</t>
  </si>
  <si>
    <t>01/16/2022</t>
  </si>
  <si>
    <t>16.01.2022</t>
  </si>
  <si>
    <t>09.01.2022</t>
  </si>
  <si>
    <t>02.01.2022</t>
  </si>
  <si>
    <t>12/26/2021</t>
  </si>
  <si>
    <t>26.12.2021</t>
  </si>
  <si>
    <t>12/19/2021</t>
  </si>
  <si>
    <t>19.12.2021</t>
  </si>
  <si>
    <t>12.12.2021</t>
  </si>
  <si>
    <t>05.12.2021</t>
  </si>
  <si>
    <t>11/28/2021</t>
  </si>
  <si>
    <t>28.11.2021</t>
  </si>
  <si>
    <t>11/21/2021</t>
  </si>
  <si>
    <t>21.11.2021</t>
  </si>
  <si>
    <t>11/14/2021</t>
  </si>
  <si>
    <t>14.11.2021</t>
  </si>
  <si>
    <t>07.11.2021</t>
  </si>
  <si>
    <t>10/31/2021</t>
  </si>
  <si>
    <t>31.10.2021</t>
  </si>
  <si>
    <t>10/24/2021</t>
  </si>
  <si>
    <t>24.10.2021</t>
  </si>
  <si>
    <t>10/17/2021</t>
  </si>
  <si>
    <t>17.10.2021</t>
  </si>
  <si>
    <t>10.10.2021</t>
  </si>
  <si>
    <t>03.10.2021</t>
  </si>
  <si>
    <t>09/26/2021</t>
  </si>
  <si>
    <t>26.09.2021</t>
  </si>
  <si>
    <t>09/19/2021</t>
  </si>
  <si>
    <t>19.09.2021</t>
  </si>
  <si>
    <t>12.09.2021</t>
  </si>
  <si>
    <t>05.09.2021</t>
  </si>
  <si>
    <t>08/29/2021</t>
  </si>
  <si>
    <t>29.08.2021</t>
  </si>
  <si>
    <t>08/22/2021</t>
  </si>
  <si>
    <t>22.08.2021</t>
  </si>
  <si>
    <t>08/15/2021</t>
  </si>
  <si>
    <t>15.08.2021</t>
  </si>
  <si>
    <t>08.08.2021</t>
  </si>
  <si>
    <t>01.08.2021</t>
  </si>
  <si>
    <t>07/25/2021</t>
  </si>
  <si>
    <t>25.07.2021</t>
  </si>
  <si>
    <t>07/18/2021</t>
  </si>
  <si>
    <t>18.07.2021</t>
  </si>
  <si>
    <t>11.07.2021</t>
  </si>
  <si>
    <t>04.07.2021</t>
  </si>
  <si>
    <t>06/27/2021</t>
  </si>
  <si>
    <t>27.06.2021</t>
  </si>
  <si>
    <t>06/20/2021</t>
  </si>
  <si>
    <t>20.06.2021</t>
  </si>
  <si>
    <t>06/13/2021</t>
  </si>
  <si>
    <t>13.06.2021</t>
  </si>
  <si>
    <t>06.06.2021</t>
  </si>
  <si>
    <t>05/30/2021</t>
  </si>
  <si>
    <t>30.05.2021</t>
  </si>
  <si>
    <t>05/23/2021</t>
  </si>
  <si>
    <t>23.05.2021</t>
  </si>
  <si>
    <t>05/16/2021</t>
  </si>
  <si>
    <t>16.05.2021</t>
  </si>
  <si>
    <t>09.05.2021</t>
  </si>
  <si>
    <t>02.05.2021</t>
  </si>
  <si>
    <t>04/25/2021</t>
  </si>
  <si>
    <t>25.04.2021</t>
  </si>
  <si>
    <t>04/18/2021</t>
  </si>
  <si>
    <t>18.04.2021</t>
  </si>
  <si>
    <t>11.04.2021</t>
  </si>
  <si>
    <t>04.04.2021</t>
  </si>
  <si>
    <t>03/28/2021</t>
  </si>
  <si>
    <t>28.03.2021</t>
  </si>
  <si>
    <t>03/21/2021</t>
  </si>
  <si>
    <t>21.03.2021</t>
  </si>
  <si>
    <t>03/14/2021</t>
  </si>
  <si>
    <t>14.03.2021</t>
  </si>
  <si>
    <t>07.03.2021</t>
  </si>
  <si>
    <t>02/28/2021</t>
  </si>
  <si>
    <t>28.02.2021</t>
  </si>
  <si>
    <t>02/21/2021</t>
  </si>
  <si>
    <t>21.02.2021</t>
  </si>
  <si>
    <t>02/14/2021</t>
  </si>
  <si>
    <t>14.02.2021</t>
  </si>
  <si>
    <t>07.02.2021</t>
  </si>
  <si>
    <t>01/31/2021</t>
  </si>
  <si>
    <t>31.01.2021</t>
  </si>
  <si>
    <t>01/24/2021</t>
  </si>
  <si>
    <t>24.01.2021</t>
  </si>
  <si>
    <t>01/17/2021</t>
  </si>
  <si>
    <t>17.01.2021</t>
  </si>
  <si>
    <t>10.01.2021</t>
  </si>
  <si>
    <t>03.01.2021</t>
  </si>
  <si>
    <t>12/27/2020</t>
  </si>
  <si>
    <t>27.12.2020</t>
  </si>
  <si>
    <t>12/20/2020</t>
  </si>
  <si>
    <t>20.12.2020</t>
  </si>
  <si>
    <t>12/13/2020</t>
  </si>
  <si>
    <t>13.12.2020</t>
  </si>
  <si>
    <t>06.12.2020</t>
  </si>
  <si>
    <t>11/29/2020</t>
  </si>
  <si>
    <t>29.11.2020</t>
  </si>
  <si>
    <t>11/22/2020</t>
  </si>
  <si>
    <t>22.11.2020</t>
  </si>
  <si>
    <t>11/15/2020</t>
  </si>
  <si>
    <t>15.11.2020</t>
  </si>
  <si>
    <t>08.11.2020</t>
  </si>
  <si>
    <t>01.11.2020</t>
  </si>
  <si>
    <t>10/25/2020</t>
  </si>
  <si>
    <t>25.10.2020</t>
  </si>
  <si>
    <t>10/18/2020</t>
  </si>
  <si>
    <t>18.10.2020</t>
  </si>
  <si>
    <t>11.10.2020</t>
  </si>
  <si>
    <t>04.10.2020</t>
  </si>
  <si>
    <t>09/27/2020</t>
  </si>
  <si>
    <t>27.09.2020</t>
  </si>
  <si>
    <t>09/20/2020</t>
  </si>
  <si>
    <t>20.09.2020</t>
  </si>
  <si>
    <t>09/13/2020</t>
  </si>
  <si>
    <t>13.09.2020</t>
  </si>
  <si>
    <t>06.09.2020</t>
  </si>
  <si>
    <t>08/30/2020</t>
  </si>
  <si>
    <t>30.08.2020</t>
  </si>
  <si>
    <t>08/23/2020</t>
  </si>
  <si>
    <t>23.08.2020</t>
  </si>
  <si>
    <t>08/16/2020</t>
  </si>
  <si>
    <t>16.08.2020</t>
  </si>
  <si>
    <t>09.08.2020</t>
  </si>
  <si>
    <t>02.08.2020</t>
  </si>
  <si>
    <t>07/26/2020</t>
  </si>
  <si>
    <t>26.07.2020</t>
  </si>
  <si>
    <t>07/19/2020</t>
  </si>
  <si>
    <t>19.07.2020</t>
  </si>
  <si>
    <t>12.07.2020</t>
  </si>
  <si>
    <t>05.07.2020</t>
  </si>
  <si>
    <t>06/28/2020</t>
  </si>
  <si>
    <t>28.06.2020</t>
  </si>
  <si>
    <t>06/21/2020</t>
  </si>
  <si>
    <t>21.06.2020</t>
  </si>
  <si>
    <t>06/14/2020</t>
  </si>
  <si>
    <t>14.06.2020</t>
  </si>
  <si>
    <t>07.06.2020</t>
  </si>
  <si>
    <t>05/31/2020</t>
  </si>
  <si>
    <t>31.05.2020</t>
  </si>
  <si>
    <t>05/24/2020</t>
  </si>
  <si>
    <t>24.05.2020</t>
  </si>
  <si>
    <t>05/17/2020</t>
  </si>
  <si>
    <t>17.05.2020</t>
  </si>
  <si>
    <t>10.05.2020</t>
  </si>
  <si>
    <t>03.05.2020</t>
  </si>
  <si>
    <t>04/26/2020</t>
  </si>
  <si>
    <t>26.04.2020</t>
  </si>
  <si>
    <t>04/19/2020</t>
  </si>
  <si>
    <t>19.04.2020</t>
  </si>
  <si>
    <t>12.04.2020</t>
  </si>
  <si>
    <t>05.04.2020</t>
  </si>
  <si>
    <t>03/29/2020</t>
  </si>
  <si>
    <t>29.03.2020</t>
  </si>
  <si>
    <t>03/22/2020</t>
  </si>
  <si>
    <t>22.03.2020</t>
  </si>
  <si>
    <t>03/15/2020</t>
  </si>
  <si>
    <t>15.03.2020</t>
  </si>
  <si>
    <t>08.03.2020</t>
  </si>
  <si>
    <t>01.03.2020</t>
  </si>
  <si>
    <t>02/23/2020</t>
  </si>
  <si>
    <t>23.02.2020</t>
  </si>
  <si>
    <t>02/16/2020</t>
  </si>
  <si>
    <t>16.02.2020</t>
  </si>
  <si>
    <t>09.02.2020</t>
  </si>
  <si>
    <t>02.02.2020</t>
  </si>
  <si>
    <t>01/26/2020</t>
  </si>
  <si>
    <t>26.01.2020</t>
  </si>
  <si>
    <t>01/19/2020</t>
  </si>
  <si>
    <t>19.01.2020</t>
  </si>
  <si>
    <t>12.01.2020</t>
  </si>
  <si>
    <t>05.01.2020</t>
  </si>
  <si>
    <t>12/29/2019</t>
  </si>
  <si>
    <t>29.12.2019</t>
  </si>
  <si>
    <t>12/22/2019</t>
  </si>
  <si>
    <t>22.12.2019</t>
  </si>
  <si>
    <t>12/15/2019</t>
  </si>
  <si>
    <t>15.12.2019</t>
  </si>
  <si>
    <t>08.12.2019</t>
  </si>
  <si>
    <t>01.12.2019</t>
  </si>
  <si>
    <t>11/24/2019</t>
  </si>
  <si>
    <t>24.11.2019</t>
  </si>
  <si>
    <t>11/17/2019</t>
  </si>
  <si>
    <t>17.11.2019</t>
  </si>
  <si>
    <t>10.11.2019</t>
  </si>
  <si>
    <t>03.11.2019</t>
  </si>
  <si>
    <t>10/27/2019</t>
  </si>
  <si>
    <t>27.10.2019</t>
  </si>
  <si>
    <t>10/20/2019</t>
  </si>
  <si>
    <t>20.10.2019</t>
  </si>
  <si>
    <t>10/13/2019</t>
  </si>
  <si>
    <t>13.10.2019</t>
  </si>
  <si>
    <t>06.10.2019</t>
  </si>
  <si>
    <t>09/29/2019</t>
  </si>
  <si>
    <t>29.09.2019</t>
  </si>
  <si>
    <t>09/22/2019</t>
  </si>
  <si>
    <t>22.09.2019</t>
  </si>
  <si>
    <t>09/15/2019</t>
  </si>
  <si>
    <t>15.09.2019</t>
  </si>
  <si>
    <t>08.09.2019</t>
  </si>
  <si>
    <t>01.09.2019</t>
  </si>
  <si>
    <t>08/25/2019</t>
  </si>
  <si>
    <t>25.08.2019</t>
  </si>
  <si>
    <t>08/18/2019</t>
  </si>
  <si>
    <t>18.08.2019</t>
  </si>
  <si>
    <t>11.08.2019</t>
  </si>
  <si>
    <t>04.08.2019</t>
  </si>
  <si>
    <t>07/28/2019</t>
  </si>
  <si>
    <t>28.07.2019</t>
  </si>
  <si>
    <t>07/21/2019</t>
  </si>
  <si>
    <t>21.07.2019</t>
  </si>
  <si>
    <t>07/14/2019</t>
  </si>
  <si>
    <t>14.07.2019</t>
  </si>
  <si>
    <t>07.07.2019</t>
  </si>
  <si>
    <t>06/30/2019</t>
  </si>
  <si>
    <t>30.06.2019</t>
  </si>
  <si>
    <t>06/23/2019</t>
  </si>
  <si>
    <t>23.06.2019</t>
  </si>
  <si>
    <t>06/16/2019</t>
  </si>
  <si>
    <t>16.06.2019</t>
  </si>
  <si>
    <t>09.06.2019</t>
  </si>
  <si>
    <t>WACC CALCULATION</t>
  </si>
  <si>
    <t>Risk-Free Rate, %</t>
  </si>
  <si>
    <t>Equity Risk Premium, %</t>
  </si>
  <si>
    <t>Country Risk Premium, %</t>
  </si>
  <si>
    <t>Cost of Equity, %</t>
  </si>
  <si>
    <t>Company Default Spread</t>
  </si>
  <si>
    <t>Cost of Debt lordo, %</t>
  </si>
  <si>
    <t>Tax Rate, %</t>
  </si>
  <si>
    <t>Cost of Debt netto, %</t>
  </si>
  <si>
    <t>Equity Value</t>
  </si>
  <si>
    <t>Share Price, USD</t>
  </si>
  <si>
    <t>Debt Value</t>
  </si>
  <si>
    <t>number of shares</t>
  </si>
  <si>
    <t>Equity Weighting, %</t>
  </si>
  <si>
    <t>Debt Weighting, %</t>
  </si>
  <si>
    <t>WACC, %</t>
  </si>
  <si>
    <t>Balance Sheet Statement - (USD Thousands)</t>
  </si>
  <si>
    <t>Year</t>
  </si>
  <si>
    <t>Cash and cash equivalents</t>
  </si>
  <si>
    <t>Short-term investments</t>
  </si>
  <si>
    <t xml:space="preserve"> </t>
  </si>
  <si>
    <t>Cash and Short Term</t>
  </si>
  <si>
    <t>Accounts receivables</t>
  </si>
  <si>
    <t>Inventory</t>
  </si>
  <si>
    <t>Income taxes receivable and prepaid taxes</t>
  </si>
  <si>
    <t>Prepaid and other current assets</t>
  </si>
  <si>
    <t>Total Current Assets</t>
  </si>
  <si>
    <t>Goodwill</t>
  </si>
  <si>
    <t>Intangible assets, net</t>
  </si>
  <si>
    <t>Goodwill and Intangible Assets</t>
  </si>
  <si>
    <t>Property and equipment, net</t>
  </si>
  <si>
    <t>Operating lease right-of-use assets, net</t>
  </si>
  <si>
    <t>Deferred income taxes</t>
  </si>
  <si>
    <t>Other long-term assets</t>
  </si>
  <si>
    <t>Total Non-Current Assets</t>
  </si>
  <si>
    <t>Total Assets</t>
  </si>
  <si>
    <t>Accounts payable and accrued liabilities</t>
  </si>
  <si>
    <t>Operating lease liabilities</t>
  </si>
  <si>
    <t>Accrued income taxes</t>
  </si>
  <si>
    <t>Deferred revenue</t>
  </si>
  <si>
    <t>Short-term debt</t>
  </si>
  <si>
    <t>Total Current Liabilities</t>
  </si>
  <si>
    <t>Long-term operating lease liabilities</t>
  </si>
  <si>
    <t>Long-term accrued income taxes</t>
  </si>
  <si>
    <t>Long-term deferred revenue</t>
  </si>
  <si>
    <t>Long-term debt</t>
  </si>
  <si>
    <t>Other long-term liabilities</t>
  </si>
  <si>
    <t>Total Non-Current Liabilities</t>
  </si>
  <si>
    <t>Total Liabilities</t>
  </si>
  <si>
    <t>Redeemable non-controlling interest</t>
  </si>
  <si>
    <t>Preferred stock, $0.01 par value: 2,000 shares authorized; none outstanding</t>
  </si>
  <si>
    <t>Common stock, $0.01 par value: 400,000 shares authorized; 152,053 and 152,375 shares outstanding, respectively</t>
  </si>
  <si>
    <t>Capital in excess of par value</t>
  </si>
  <si>
    <t>Retained earnings</t>
  </si>
  <si>
    <t>Treasury stock, at cost: 5,207 and 4,886 shares, respectively</t>
  </si>
  <si>
    <t>Accumulated other comprehensive income (loss)</t>
  </si>
  <si>
    <t>Total Synopsys stockholders' equity</t>
  </si>
  <si>
    <t>Non-controlling interest</t>
  </si>
  <si>
    <t>Total Stockholders' Equity</t>
  </si>
  <si>
    <t xml:space="preserve">check </t>
  </si>
  <si>
    <t>Total Liabilities &amp; Equity</t>
  </si>
  <si>
    <t>Net Working Capital</t>
  </si>
  <si>
    <t>Non-cash Working Capital</t>
  </si>
  <si>
    <t>∆NWC</t>
  </si>
  <si>
    <t>Income Statement - (USD Thousands)</t>
  </si>
  <si>
    <t>Time-based products</t>
  </si>
  <si>
    <t>Upfront products</t>
  </si>
  <si>
    <t>Total products revenue</t>
  </si>
  <si>
    <t>Maintenance and service</t>
  </si>
  <si>
    <t>Total revenue</t>
  </si>
  <si>
    <t>Products</t>
  </si>
  <si>
    <t>Amortization of intangible assets</t>
  </si>
  <si>
    <t>Total cost of revenue (COGS)</t>
  </si>
  <si>
    <t>Gross profit</t>
  </si>
  <si>
    <t>Research and development</t>
  </si>
  <si>
    <t>Sales and marketing</t>
  </si>
  <si>
    <t>General and administrative</t>
  </si>
  <si>
    <t>Restructuring charges</t>
  </si>
  <si>
    <t>Total Operating Expenses (OpEx)</t>
  </si>
  <si>
    <t>Operating income (EBIT)</t>
  </si>
  <si>
    <t>Other income (expense), net</t>
  </si>
  <si>
    <t xml:space="preserve">Income before income taxes (EBT) </t>
  </si>
  <si>
    <t>Provision (benefit) for income taxes</t>
  </si>
  <si>
    <t>Net income</t>
  </si>
  <si>
    <t>Net income (loss) attributed to non-controlling interest and redeemable non-controlling interest</t>
  </si>
  <si>
    <t>Net income attributed to Synopsys</t>
  </si>
  <si>
    <t>Net income per share attributed to Synopsys:</t>
  </si>
  <si>
    <t>Basic</t>
  </si>
  <si>
    <t>Diluted</t>
  </si>
  <si>
    <t>Shares used in computing per share amounts:</t>
  </si>
  <si>
    <t>Cash Flow Statement - (USD Thousands)</t>
  </si>
  <si>
    <t>Amortization and depreciation</t>
  </si>
  <si>
    <t>Reduction of operating lease right-of-use assets</t>
  </si>
  <si>
    <t>Amortization of capitalized costs to obtain revenue contracts</t>
  </si>
  <si>
    <t>Stock-based compensation</t>
  </si>
  <si>
    <t>Allowance for credit losses</t>
  </si>
  <si>
    <t>Other non-cash</t>
  </si>
  <si>
    <t>Accounts receivable</t>
  </si>
  <si>
    <t>Inventories</t>
  </si>
  <si>
    <t>Income taxes</t>
  </si>
  <si>
    <t>Operating Cash Flows</t>
  </si>
  <si>
    <t>Proceeds from sales and maturities of short-term investments</t>
  </si>
  <si>
    <t>Purchases of short-term investments</t>
  </si>
  <si>
    <t>Proceeds from sales of long-term investments</t>
  </si>
  <si>
    <t>-</t>
  </si>
  <si>
    <t>Purchases of long-term investments</t>
  </si>
  <si>
    <t>Purchases of property and equipment (PP&amp;E)</t>
  </si>
  <si>
    <t>Acquisitions, net of cash acquired</t>
  </si>
  <si>
    <t>Capitalization of software development costs</t>
  </si>
  <si>
    <t>other</t>
  </si>
  <si>
    <t>Investing Cash Flow</t>
  </si>
  <si>
    <t>Proceeds from credit facilities</t>
  </si>
  <si>
    <t>Repayment of debt</t>
  </si>
  <si>
    <t>Issuances of common stock</t>
  </si>
  <si>
    <t>Payments for taxes related to net share settlement of equity awards</t>
  </si>
  <si>
    <t>Purchase of equity forward contract</t>
  </si>
  <si>
    <t>Purchases of treasury stock</t>
  </si>
  <si>
    <t>Other</t>
  </si>
  <si>
    <t>Financing Cash Flow</t>
  </si>
  <si>
    <t>Effect of exchange rate changes on cash, cash equivalents and restricted cash</t>
  </si>
  <si>
    <t>Net change in cash, cash equivalents and restricted cash</t>
  </si>
  <si>
    <t>Cash, cash equivalents and restricted cash, beginning of year</t>
  </si>
  <si>
    <t>Cash, cash equivalents and restricted cash, end of year</t>
  </si>
  <si>
    <t>Supplemental disclosure of cash flow information:</t>
  </si>
  <si>
    <t>Cash paid for income taxes during the year</t>
  </si>
  <si>
    <t>Interest payments during the year</t>
  </si>
  <si>
    <t>Non-cash activities:</t>
  </si>
  <si>
    <t>Purchase of property and equipment included in accounts payable</t>
  </si>
  <si>
    <t>Conversion of notes receivable to non-marketable equity securities</t>
  </si>
  <si>
    <t>Income Statement</t>
  </si>
  <si>
    <t>Actuals</t>
  </si>
  <si>
    <t>Forecasted</t>
  </si>
  <si>
    <t>2024E</t>
  </si>
  <si>
    <t>2025E</t>
  </si>
  <si>
    <t>2026E</t>
  </si>
  <si>
    <t>2027E</t>
  </si>
  <si>
    <t>2028E</t>
  </si>
  <si>
    <t>2029E</t>
  </si>
  <si>
    <t>CAGR</t>
  </si>
  <si>
    <t>Revenue</t>
  </si>
  <si>
    <t>% growth</t>
  </si>
  <si>
    <t>% forecast growth</t>
  </si>
  <si>
    <t>% revenue</t>
  </si>
  <si>
    <t>OpEx</t>
  </si>
  <si>
    <t>EBIT</t>
  </si>
  <si>
    <t>D&amp;A</t>
  </si>
  <si>
    <t>% capex</t>
  </si>
  <si>
    <t>EBITDA</t>
  </si>
  <si>
    <t>Interest Expense</t>
  </si>
  <si>
    <t>% EBIT</t>
  </si>
  <si>
    <t>EBT</t>
  </si>
  <si>
    <t>Taxes</t>
  </si>
  <si>
    <t>%tax rate</t>
  </si>
  <si>
    <t>Cash Flow Items</t>
  </si>
  <si>
    <t>CapEx</t>
  </si>
  <si>
    <t>Change in NWC</t>
  </si>
  <si>
    <t>A/F</t>
  </si>
  <si>
    <t>Actual</t>
  </si>
  <si>
    <t>Forecast</t>
  </si>
  <si>
    <t>Var%</t>
  </si>
  <si>
    <t>Reorganized Financials and FCFF Calculation</t>
  </si>
  <si>
    <t>NOPAT</t>
  </si>
  <si>
    <t>Free Cash Flow to Firm</t>
  </si>
  <si>
    <t xml:space="preserve">FCFF </t>
  </si>
  <si>
    <t>WACC</t>
  </si>
  <si>
    <t>Discounted FCFF</t>
  </si>
  <si>
    <t>Terminal Value</t>
  </si>
  <si>
    <t xml:space="preserve">Enterprise Value </t>
  </si>
  <si>
    <t>Sensitivity Analysis</t>
  </si>
  <si>
    <t>Growth Rate</t>
  </si>
  <si>
    <t>Present Value</t>
  </si>
  <si>
    <t>(%)</t>
  </si>
  <si>
    <t>PV of FCFF</t>
  </si>
  <si>
    <t>PV of Terminal Value</t>
  </si>
  <si>
    <t>Enterprise Value</t>
  </si>
  <si>
    <t>Wacc</t>
  </si>
  <si>
    <t>Growth Rate (%)</t>
  </si>
  <si>
    <t>Growth Rate step-up</t>
  </si>
  <si>
    <t>WACC (%)</t>
  </si>
  <si>
    <t>WACC step-up</t>
  </si>
  <si>
    <t>Equity value</t>
  </si>
  <si>
    <t>Stock Price</t>
  </si>
  <si>
    <t>Cash</t>
  </si>
  <si>
    <t>Total shares outstanding</t>
  </si>
  <si>
    <t>Debt</t>
  </si>
  <si>
    <t xml:space="preserve">Share Price </t>
  </si>
  <si>
    <t>Sales</t>
  </si>
  <si>
    <t>Var, %</t>
  </si>
  <si>
    <t>Total Products</t>
  </si>
  <si>
    <t>Time Based Products</t>
  </si>
  <si>
    <t>Upfront Products</t>
  </si>
  <si>
    <t>Maintenance and Service</t>
  </si>
  <si>
    <t>Free Cash Flow - (USD Thousands)</t>
  </si>
  <si>
    <t>sistema alineamento numeri</t>
  </si>
  <si>
    <t>Revenue Growth, %</t>
  </si>
  <si>
    <t>OpEx,%</t>
  </si>
  <si>
    <t>Revenue, %</t>
  </si>
  <si>
    <t>EBIT, %</t>
  </si>
  <si>
    <t>Taxes, %</t>
  </si>
  <si>
    <t xml:space="preserve">Tax Rate, % </t>
  </si>
  <si>
    <t>NOPAT, %</t>
  </si>
  <si>
    <t>D&amp;A, %</t>
  </si>
  <si>
    <t>CapEx, %</t>
  </si>
  <si>
    <t>∆NWC, %</t>
  </si>
  <si>
    <t>FCFF</t>
  </si>
  <si>
    <t>indebitamento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</si>
</sst>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0.00\ &quot;€&quot;;[Red]\-#,##0.00\ &quot;€&quot;"/>
    <numFmt numFmtId="43" formatCode="_-* #,##0.00_-;\-* #,##0.00_-;_-* &quot;-&quot;??_-;_-@_-"/>
    <numFmt numFmtId="164" formatCode="#,##0.00\ &quot;€&quot;"/>
    <numFmt numFmtId="165" formatCode="0.00\B_);\(0.00\B\);@_)"/>
    <numFmt numFmtId="166" formatCode="_(##,##0.0_x_);\(##,##0.0\)_x"/>
    <numFmt numFmtId="167" formatCode="#,##0.0"/>
    <numFmt numFmtId="168" formatCode="0.0%"/>
    <numFmt numFmtId="169" formatCode="\$#,###_);\$\(#,###\)"/>
    <numFmt numFmtId="170" formatCode="0.00%;\(0.00\)%"/>
    <numFmt numFmtId="171" formatCode="#,##0.0_);\(#,##0.0\)"/>
    <numFmt numFmtId="172" formatCode="&quot;€&quot;#,###_);&quot;€&quot;\(#,###\)"/>
    <numFmt numFmtId="173" formatCode="\$#,###.00_);\$\(#,###.00\)"/>
    <numFmt numFmtId="174" formatCode="0.000%;\(0.000\)%"/>
    <numFmt numFmtId="175" formatCode="\$#,###;\$\(#,###\)"/>
    <numFmt numFmtId="176" formatCode="#,##0.0;\(#,##0.0\)"/>
    <numFmt numFmtId="177" formatCode="\$#,###.000;\$\(#,###.000\)"/>
    <numFmt numFmtId="178" formatCode="_-* #,##0_-;\-* #,##0_-;_-* &quot;-&quot;??_-;_-@_-"/>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Poppins"/>
    </font>
    <font>
      <sz val="11"/>
      <color rgb="FFC00000"/>
      <name val="Calibri"/>
      <family val="2"/>
      <scheme val="minor"/>
    </font>
    <font>
      <b/>
      <sz val="11"/>
      <color theme="1"/>
      <name val="Poppins"/>
    </font>
    <font>
      <sz val="11"/>
      <color theme="1"/>
      <name val="Poppins"/>
    </font>
    <font>
      <sz val="11"/>
      <color theme="9"/>
      <name val="Poppins"/>
    </font>
    <font>
      <sz val="11"/>
      <color rgb="FFC00000"/>
      <name val="Poppins"/>
    </font>
    <font>
      <b/>
      <sz val="11"/>
      <color theme="9"/>
      <name val="Poppins"/>
    </font>
    <font>
      <sz val="11"/>
      <color theme="9"/>
      <name val="Calibri"/>
      <family val="2"/>
      <scheme val="minor"/>
    </font>
    <font>
      <sz val="10"/>
      <color theme="1"/>
      <name val="Calibri"/>
      <family val="2"/>
      <scheme val="minor"/>
    </font>
    <font>
      <b/>
      <sz val="10"/>
      <color theme="0"/>
      <name val="Calibri"/>
      <family val="2"/>
      <scheme val="minor"/>
    </font>
    <font>
      <sz val="10"/>
      <color theme="9"/>
      <name val="Calibri"/>
      <family val="2"/>
      <scheme val="minor"/>
    </font>
    <font>
      <sz val="10"/>
      <color rgb="FF0000FF"/>
      <name val="Calibri"/>
      <family val="2"/>
      <scheme val="minor"/>
    </font>
    <font>
      <b/>
      <sz val="10"/>
      <color theme="1"/>
      <name val="Calibri"/>
      <family val="2"/>
      <scheme val="minor"/>
    </font>
    <font>
      <i/>
      <sz val="10"/>
      <color rgb="FF0000FF"/>
      <name val="Calibri"/>
      <family val="2"/>
      <scheme val="minor"/>
    </font>
    <font>
      <sz val="8"/>
      <color theme="1"/>
      <name val="Calibri"/>
      <family val="2"/>
      <scheme val="minor"/>
    </font>
    <font>
      <sz val="10"/>
      <color rgb="FFC00000"/>
      <name val="Calibri"/>
      <family val="2"/>
      <scheme val="minor"/>
    </font>
    <font>
      <sz val="10"/>
      <color theme="0"/>
      <name val="Calibri"/>
      <family val="2"/>
      <scheme val="minor"/>
    </font>
    <font>
      <b/>
      <sz val="10"/>
      <name val="Calibri"/>
      <family val="2"/>
      <scheme val="minor"/>
    </font>
    <font>
      <sz val="10"/>
      <name val="Calibri"/>
      <family val="2"/>
      <scheme val="minor"/>
    </font>
    <font>
      <b/>
      <sz val="12"/>
      <color theme="0"/>
      <name val="Calibri"/>
      <family val="2"/>
      <scheme val="minor"/>
    </font>
    <font>
      <sz val="12"/>
      <color theme="0"/>
      <name val="Calibri"/>
      <family val="2"/>
      <scheme val="minor"/>
    </font>
    <font>
      <sz val="10"/>
      <color theme="4" tint="-0.249977111117893"/>
      <name val="Calibri"/>
      <family val="2"/>
      <scheme val="minor"/>
    </font>
    <font>
      <b/>
      <sz val="10"/>
      <color rgb="FFFFFFFF"/>
      <name val="Calibri"/>
      <family val="2"/>
      <scheme val="minor"/>
    </font>
    <font>
      <sz val="10"/>
      <color rgb="FF000000"/>
      <name val="Calibri"/>
      <family val="2"/>
      <scheme val="minor"/>
    </font>
    <font>
      <b/>
      <sz val="10"/>
      <color rgb="FF003399"/>
      <name val="Calibri"/>
      <family val="2"/>
      <scheme val="minor"/>
    </font>
    <font>
      <b/>
      <sz val="10"/>
      <color rgb="FF000000"/>
      <name val="Calibri"/>
      <family val="2"/>
      <scheme val="minor"/>
    </font>
    <font>
      <i/>
      <sz val="10"/>
      <color rgb="FF000000"/>
      <name val="Calibri"/>
      <family val="2"/>
      <scheme val="minor"/>
    </font>
    <font>
      <i/>
      <sz val="10"/>
      <name val="Calibri"/>
      <family val="2"/>
      <scheme val="minor"/>
    </font>
    <font>
      <sz val="10"/>
      <color indexed="8"/>
      <name val="Calibri"/>
      <family val="2"/>
      <scheme val="minor"/>
    </font>
    <font>
      <b/>
      <sz val="12"/>
      <color rgb="FFFFFFFF"/>
      <name val="Calibri"/>
      <family val="2"/>
      <scheme val="minor"/>
    </font>
    <font>
      <i/>
      <sz val="10"/>
      <color theme="1"/>
      <name val="Calibri"/>
      <family val="2"/>
      <scheme val="minor"/>
    </font>
    <font>
      <sz val="10"/>
      <color rgb="FF196B24"/>
      <name val="Calibri"/>
      <family val="2"/>
      <scheme val="minor"/>
    </font>
    <font>
      <sz val="10"/>
      <color theme="6"/>
      <name val="Calibri"/>
      <family val="2"/>
      <scheme val="minor"/>
    </font>
    <font>
      <sz val="11"/>
      <color rgb="FF7030A0"/>
      <name val="Calibri"/>
      <family val="2"/>
      <scheme val="minor"/>
    </font>
    <font>
      <sz val="10"/>
      <color rgb="FF7030A0"/>
      <name val="Calibri"/>
      <family val="2"/>
      <scheme val="minor"/>
    </font>
    <font>
      <b/>
      <sz val="11"/>
      <color rgb="FF7030A0"/>
      <name val="Calibri"/>
      <family val="2"/>
      <scheme val="minor"/>
    </font>
    <font>
      <sz val="11"/>
      <name val="Calibri"/>
      <family val="2"/>
      <scheme val="minor"/>
    </font>
    <font>
      <b/>
      <sz val="10"/>
      <color theme="1"/>
      <name val="Arial"/>
      <family val="2"/>
    </font>
    <font>
      <b/>
      <sz val="10"/>
      <color theme="0"/>
      <name val="Helvetica"/>
      <family val="2"/>
    </font>
    <font>
      <sz val="11"/>
      <color theme="1"/>
      <name val="Helvetica"/>
      <family val="2"/>
    </font>
    <font>
      <sz val="10"/>
      <color theme="1"/>
      <name val="Helvetica"/>
      <family val="2"/>
    </font>
    <font>
      <sz val="11"/>
      <color rgb="FF0000FF"/>
      <name val="Calibri"/>
      <family val="2"/>
      <scheme val="minor"/>
    </font>
    <font>
      <b/>
      <sz val="11"/>
      <color rgb="FF0000FF"/>
      <name val="Calibri"/>
      <family val="2"/>
      <scheme val="minor"/>
    </font>
    <font>
      <sz val="8"/>
      <color theme="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4" tint="-0.499984740745262"/>
        <bgColor rgb="FF0069B3"/>
      </patternFill>
    </fill>
    <fill>
      <patternFill patternType="solid">
        <fgColor theme="4" tint="-0.499984740745262"/>
        <bgColor indexed="64"/>
      </patternFill>
    </fill>
    <fill>
      <patternFill patternType="solid">
        <fgColor rgb="FF002060"/>
        <bgColor indexed="64"/>
      </patternFill>
    </fill>
    <fill>
      <patternFill patternType="solid">
        <fgColor rgb="FF93B1CC"/>
        <bgColor indexed="64"/>
      </patternFill>
    </fill>
    <fill>
      <patternFill patternType="solid">
        <fgColor rgb="FF93C196"/>
        <bgColor indexed="64"/>
      </patternFill>
    </fill>
    <fill>
      <patternFill patternType="solid">
        <fgColor rgb="FFFFFFFF"/>
        <bgColor rgb="FF000000"/>
      </patternFill>
    </fill>
    <fill>
      <patternFill patternType="solid">
        <fgColor rgb="FF002060"/>
        <bgColor rgb="FF000000"/>
      </patternFill>
    </fill>
    <fill>
      <patternFill patternType="solid">
        <fgColor rgb="FF93B1CC"/>
        <bgColor rgb="FF000000"/>
      </patternFill>
    </fill>
    <fill>
      <patternFill patternType="solid">
        <fgColor rgb="FF93C196"/>
        <bgColor rgb="FF000000"/>
      </patternFill>
    </fill>
    <fill>
      <patternFill patternType="solid">
        <fgColor rgb="FFD9D9D9"/>
        <bgColor rgb="FF000000"/>
      </patternFill>
    </fill>
    <fill>
      <patternFill patternType="solid">
        <fgColor theme="0"/>
        <bgColor rgb="FF000000"/>
      </patternFill>
    </fill>
    <fill>
      <patternFill patternType="solid">
        <fgColor rgb="FF003366"/>
        <bgColor indexed="64"/>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right/>
      <top/>
      <bottom style="medium">
        <color theme="2"/>
      </bottom>
      <diagonal/>
    </border>
    <border>
      <left/>
      <right/>
      <top style="medium">
        <color theme="2"/>
      </top>
      <bottom style="medium">
        <color theme="2"/>
      </bottom>
      <diagonal/>
    </border>
    <border>
      <left/>
      <right/>
      <top style="medium">
        <color theme="2"/>
      </top>
      <bottom style="double">
        <color theme="1"/>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14">
    <xf numFmtId="0" fontId="0" fillId="0" borderId="0" xfId="0"/>
    <xf numFmtId="0" fontId="4" fillId="2" borderId="0" xfId="0" applyFont="1" applyFill="1"/>
    <xf numFmtId="0" fontId="6" fillId="2" borderId="0" xfId="0" applyFont="1" applyFill="1"/>
    <xf numFmtId="10" fontId="6" fillId="2" borderId="0" xfId="0" applyNumberFormat="1" applyFont="1" applyFill="1"/>
    <xf numFmtId="0" fontId="8" fillId="2" borderId="0" xfId="0" applyFont="1" applyFill="1"/>
    <xf numFmtId="0" fontId="5" fillId="2" borderId="0" xfId="0" applyFont="1" applyFill="1"/>
    <xf numFmtId="0" fontId="3" fillId="4" borderId="0" xfId="0" applyFont="1" applyFill="1" applyAlignment="1">
      <alignment horizontal="centerContinuous"/>
    </xf>
    <xf numFmtId="0" fontId="3" fillId="4" borderId="3" xfId="0" applyFont="1" applyFill="1" applyBorder="1" applyAlignment="1">
      <alignment horizontal="centerContinuous"/>
    </xf>
    <xf numFmtId="0" fontId="5" fillId="2" borderId="0" xfId="0" applyFont="1" applyFill="1" applyAlignment="1">
      <alignment horizontal="center" vertical="center"/>
    </xf>
    <xf numFmtId="0" fontId="5" fillId="2" borderId="3"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166" fontId="9" fillId="2" borderId="0" xfId="0" applyNumberFormat="1" applyFont="1" applyFill="1"/>
    <xf numFmtId="0" fontId="6" fillId="2" borderId="3" xfId="0" applyFont="1" applyFill="1" applyBorder="1"/>
    <xf numFmtId="0" fontId="6" fillId="2" borderId="0" xfId="0" applyFont="1" applyFill="1" applyAlignment="1">
      <alignment horizontal="left" indent="1"/>
    </xf>
    <xf numFmtId="166" fontId="6" fillId="2" borderId="0" xfId="0" applyNumberFormat="1" applyFont="1" applyFill="1"/>
    <xf numFmtId="168" fontId="6" fillId="2" borderId="0" xfId="0" applyNumberFormat="1" applyFont="1" applyFill="1"/>
    <xf numFmtId="10" fontId="6" fillId="2" borderId="0" xfId="1" applyNumberFormat="1" applyFont="1" applyFill="1"/>
    <xf numFmtId="10" fontId="6" fillId="2" borderId="4" xfId="1" applyNumberFormat="1" applyFont="1" applyFill="1" applyBorder="1"/>
    <xf numFmtId="166" fontId="5" fillId="2" borderId="0" xfId="0" applyNumberFormat="1" applyFont="1" applyFill="1"/>
    <xf numFmtId="168" fontId="6" fillId="2" borderId="0" xfId="1" applyNumberFormat="1" applyFont="1" applyFill="1"/>
    <xf numFmtId="166" fontId="9" fillId="2" borderId="4" xfId="0" applyNumberFormat="1" applyFont="1" applyFill="1" applyBorder="1"/>
    <xf numFmtId="166" fontId="6" fillId="2" borderId="4" xfId="0" applyNumberFormat="1" applyFont="1" applyFill="1" applyBorder="1"/>
    <xf numFmtId="166" fontId="5" fillId="2" borderId="4" xfId="0" applyNumberFormat="1" applyFont="1" applyFill="1" applyBorder="1"/>
    <xf numFmtId="10" fontId="7" fillId="2" borderId="0" xfId="0" applyNumberFormat="1" applyFont="1" applyFill="1"/>
    <xf numFmtId="0" fontId="6" fillId="2" borderId="4" xfId="0" applyFont="1" applyFill="1" applyBorder="1"/>
    <xf numFmtId="0" fontId="5" fillId="0" borderId="0" xfId="0" applyFont="1"/>
    <xf numFmtId="0" fontId="5" fillId="0" borderId="0" xfId="0" applyFont="1" applyAlignment="1">
      <alignment horizontal="center" vertical="center"/>
    </xf>
    <xf numFmtId="0" fontId="5" fillId="0" borderId="3" xfId="0" applyFont="1"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3" xfId="0" applyFont="1" applyBorder="1" applyAlignment="1">
      <alignment horizontal="center" vertical="center"/>
    </xf>
    <xf numFmtId="0" fontId="10" fillId="0" borderId="0" xfId="0" applyFont="1"/>
    <xf numFmtId="0" fontId="2" fillId="0" borderId="0" xfId="0" applyFont="1"/>
    <xf numFmtId="10" fontId="0" fillId="0" borderId="0" xfId="1" applyNumberFormat="1" applyFont="1" applyFill="1"/>
    <xf numFmtId="0" fontId="0" fillId="2" borderId="0" xfId="0" applyFill="1"/>
    <xf numFmtId="0" fontId="11" fillId="2" borderId="0" xfId="0" applyFont="1" applyFill="1"/>
    <xf numFmtId="0" fontId="12" fillId="5" borderId="0" xfId="0" applyFont="1" applyFill="1" applyAlignment="1">
      <alignment horizontal="centerContinuous"/>
    </xf>
    <xf numFmtId="0" fontId="12" fillId="2" borderId="0" xfId="0" applyFont="1" applyFill="1" applyAlignment="1">
      <alignment horizontal="centerContinuous" vertical="center"/>
    </xf>
    <xf numFmtId="10" fontId="13" fillId="2" borderId="0" xfId="1" applyNumberFormat="1" applyFont="1" applyFill="1"/>
    <xf numFmtId="2" fontId="13" fillId="2" borderId="0" xfId="0" applyNumberFormat="1" applyFont="1" applyFill="1"/>
    <xf numFmtId="0" fontId="15" fillId="2" borderId="1" xfId="0" applyFont="1" applyFill="1" applyBorder="1"/>
    <xf numFmtId="10" fontId="15" fillId="2" borderId="1" xfId="0" applyNumberFormat="1" applyFont="1" applyFill="1" applyBorder="1"/>
    <xf numFmtId="3" fontId="11" fillId="2" borderId="0" xfId="0" applyNumberFormat="1" applyFont="1" applyFill="1"/>
    <xf numFmtId="10" fontId="11" fillId="2" borderId="0" xfId="1" applyNumberFormat="1" applyFont="1" applyFill="1"/>
    <xf numFmtId="164" fontId="11" fillId="2" borderId="1" xfId="0" applyNumberFormat="1" applyFont="1" applyFill="1" applyBorder="1"/>
    <xf numFmtId="0" fontId="11" fillId="2" borderId="2" xfId="0" applyFont="1" applyFill="1" applyBorder="1"/>
    <xf numFmtId="0" fontId="15" fillId="2" borderId="0" xfId="0" applyFont="1" applyFill="1"/>
    <xf numFmtId="10" fontId="15" fillId="2" borderId="0" xfId="0" applyNumberFormat="1" applyFont="1" applyFill="1"/>
    <xf numFmtId="0" fontId="11" fillId="0" borderId="0" xfId="0" applyFont="1"/>
    <xf numFmtId="0" fontId="18" fillId="2" borderId="0" xfId="0" applyFont="1" applyFill="1"/>
    <xf numFmtId="165" fontId="11" fillId="2" borderId="0" xfId="0" applyNumberFormat="1" applyFont="1" applyFill="1"/>
    <xf numFmtId="10" fontId="11" fillId="2" borderId="0" xfId="0" applyNumberFormat="1" applyFont="1" applyFill="1"/>
    <xf numFmtId="0" fontId="17" fillId="2" borderId="0" xfId="0" applyFont="1" applyFill="1"/>
    <xf numFmtId="0" fontId="19" fillId="5" borderId="0" xfId="0" applyFont="1" applyFill="1" applyAlignment="1">
      <alignment horizontal="centerContinuous"/>
    </xf>
    <xf numFmtId="0" fontId="11" fillId="2" borderId="0" xfId="0" applyFont="1" applyFill="1" applyAlignment="1">
      <alignment horizontal="left" indent="1"/>
    </xf>
    <xf numFmtId="0" fontId="11" fillId="2" borderId="0" xfId="0" applyFont="1" applyFill="1" applyAlignment="1">
      <alignment horizontal="right"/>
    </xf>
    <xf numFmtId="0" fontId="14" fillId="0" borderId="0" xfId="2" applyNumberFormat="1" applyFont="1" applyAlignment="1">
      <alignment horizontal="right" vertical="top"/>
    </xf>
    <xf numFmtId="14" fontId="11" fillId="2" borderId="0" xfId="0" applyNumberFormat="1" applyFont="1" applyFill="1" applyAlignment="1">
      <alignment horizontal="right"/>
    </xf>
    <xf numFmtId="0" fontId="15" fillId="2" borderId="0" xfId="0" applyFont="1" applyFill="1" applyAlignment="1">
      <alignment horizontal="center"/>
    </xf>
    <xf numFmtId="0" fontId="11" fillId="2" borderId="0" xfId="0" applyFont="1" applyFill="1" applyAlignment="1">
      <alignment horizontal="left"/>
    </xf>
    <xf numFmtId="0" fontId="11" fillId="2" borderId="0" xfId="0" applyFont="1" applyFill="1" applyAlignment="1">
      <alignment horizontal="center"/>
    </xf>
    <xf numFmtId="10" fontId="14" fillId="2" borderId="0" xfId="1" applyNumberFormat="1" applyFont="1" applyFill="1" applyAlignment="1">
      <alignment vertical="center"/>
    </xf>
    <xf numFmtId="10" fontId="16" fillId="2" borderId="0" xfId="1" applyNumberFormat="1" applyFont="1" applyFill="1" applyAlignment="1">
      <alignment vertical="center"/>
    </xf>
    <xf numFmtId="0" fontId="11" fillId="2" borderId="0" xfId="0" applyFont="1" applyFill="1" applyAlignment="1">
      <alignment horizontal="left" vertical="top"/>
    </xf>
    <xf numFmtId="0" fontId="11" fillId="2" borderId="0" xfId="0" applyFont="1" applyFill="1" applyAlignment="1">
      <alignment vertical="center"/>
    </xf>
    <xf numFmtId="0" fontId="15" fillId="2" borderId="0" xfId="0" applyFont="1" applyFill="1" applyAlignment="1">
      <alignment horizontal="left" vertical="center" wrapText="1"/>
    </xf>
    <xf numFmtId="0" fontId="15" fillId="2" borderId="1" xfId="0" applyFont="1" applyFill="1" applyBorder="1" applyAlignment="1">
      <alignment horizontal="center" vertical="center"/>
    </xf>
    <xf numFmtId="0" fontId="11" fillId="2" borderId="0" xfId="0" applyFont="1" applyFill="1" applyAlignment="1">
      <alignment horizontal="left" vertical="center" wrapText="1"/>
    </xf>
    <xf numFmtId="166" fontId="11" fillId="2" borderId="0" xfId="0" applyNumberFormat="1" applyFont="1" applyFill="1" applyAlignment="1">
      <alignment vertical="center" wrapText="1"/>
    </xf>
    <xf numFmtId="166" fontId="11" fillId="2" borderId="0" xfId="0" applyNumberFormat="1" applyFont="1" applyFill="1"/>
    <xf numFmtId="166" fontId="15" fillId="2" borderId="0" xfId="0" applyNumberFormat="1" applyFont="1" applyFill="1" applyAlignment="1">
      <alignment vertical="center" wrapText="1"/>
    </xf>
    <xf numFmtId="3" fontId="11" fillId="2" borderId="0" xfId="0" applyNumberFormat="1" applyFont="1" applyFill="1" applyAlignment="1">
      <alignment vertical="center" wrapText="1"/>
    </xf>
    <xf numFmtId="0" fontId="11" fillId="2" borderId="0" xfId="0" applyFont="1" applyFill="1" applyAlignment="1">
      <alignment horizontal="left" vertical="top" wrapText="1"/>
    </xf>
    <xf numFmtId="166" fontId="15" fillId="2" borderId="0" xfId="0" applyNumberFormat="1" applyFont="1" applyFill="1" applyAlignment="1">
      <alignment horizontal="right" vertical="center" wrapText="1"/>
    </xf>
    <xf numFmtId="0" fontId="20" fillId="2" borderId="0" xfId="0" applyFont="1" applyFill="1" applyAlignment="1">
      <alignment horizontal="left" vertical="center" wrapText="1"/>
    </xf>
    <xf numFmtId="166" fontId="20" fillId="2" borderId="0" xfId="0" applyNumberFormat="1" applyFont="1" applyFill="1" applyAlignment="1">
      <alignment vertical="center" wrapText="1"/>
    </xf>
    <xf numFmtId="166" fontId="11" fillId="2" borderId="0" xfId="0" applyNumberFormat="1" applyFont="1" applyFill="1" applyAlignment="1">
      <alignment horizontal="right" vertical="center" wrapText="1"/>
    </xf>
    <xf numFmtId="166" fontId="11" fillId="2" borderId="0" xfId="0" applyNumberFormat="1" applyFont="1" applyFill="1" applyAlignment="1">
      <alignment horizontal="right"/>
    </xf>
    <xf numFmtId="166" fontId="20" fillId="2" borderId="0" xfId="0" applyNumberFormat="1" applyFont="1" applyFill="1" applyAlignment="1">
      <alignment horizontal="right" vertical="center" wrapText="1"/>
    </xf>
    <xf numFmtId="166" fontId="20" fillId="2" borderId="2" xfId="0" applyNumberFormat="1" applyFont="1" applyFill="1" applyBorder="1" applyAlignment="1">
      <alignment horizontal="right"/>
    </xf>
    <xf numFmtId="0" fontId="11" fillId="2" borderId="0" xfId="0" applyFont="1" applyFill="1" applyAlignment="1">
      <alignment vertical="top"/>
    </xf>
    <xf numFmtId="0" fontId="21" fillId="2" borderId="0" xfId="0" applyFont="1" applyFill="1" applyAlignment="1">
      <alignment vertical="top"/>
    </xf>
    <xf numFmtId="0" fontId="21" fillId="2" borderId="0" xfId="0" applyFont="1" applyFill="1"/>
    <xf numFmtId="0" fontId="20" fillId="2" borderId="0" xfId="0" applyFont="1" applyFill="1" applyAlignment="1">
      <alignment vertical="top" wrapText="1"/>
    </xf>
    <xf numFmtId="0" fontId="20" fillId="2" borderId="1" xfId="0" applyFont="1" applyFill="1" applyBorder="1" applyAlignment="1">
      <alignment horizontal="center" vertical="center"/>
    </xf>
    <xf numFmtId="0" fontId="21" fillId="2" borderId="0" xfId="0" applyFont="1" applyFill="1" applyAlignment="1">
      <alignment horizontal="left" vertical="top" wrapText="1"/>
    </xf>
    <xf numFmtId="166" fontId="21" fillId="2" borderId="0" xfId="0" applyNumberFormat="1" applyFont="1" applyFill="1" applyAlignment="1">
      <alignment vertical="center" wrapText="1"/>
    </xf>
    <xf numFmtId="166" fontId="20" fillId="2" borderId="5" xfId="0" applyNumberFormat="1" applyFont="1" applyFill="1" applyBorder="1" applyAlignment="1">
      <alignment vertical="center" wrapText="1"/>
    </xf>
    <xf numFmtId="166" fontId="20" fillId="2" borderId="5" xfId="0" applyNumberFormat="1" applyFont="1" applyFill="1" applyBorder="1" applyAlignment="1">
      <alignment horizontal="right" vertical="center" wrapText="1"/>
    </xf>
    <xf numFmtId="167" fontId="21" fillId="2" borderId="0" xfId="0" applyNumberFormat="1" applyFont="1" applyFill="1"/>
    <xf numFmtId="166" fontId="20" fillId="2" borderId="6" xfId="0" applyNumberFormat="1" applyFont="1" applyFill="1" applyBorder="1" applyAlignment="1">
      <alignment vertical="center" wrapText="1"/>
    </xf>
    <xf numFmtId="166" fontId="20" fillId="2" borderId="6" xfId="0" applyNumberFormat="1" applyFont="1" applyFill="1" applyBorder="1" applyAlignment="1">
      <alignment horizontal="right" vertical="center" wrapText="1"/>
    </xf>
    <xf numFmtId="0" fontId="18" fillId="2" borderId="0" xfId="0" applyFont="1" applyFill="1" applyAlignment="1">
      <alignment vertical="top"/>
    </xf>
    <xf numFmtId="0" fontId="24" fillId="2" borderId="0" xfId="0" applyFont="1" applyFill="1"/>
    <xf numFmtId="0" fontId="15" fillId="2" borderId="0" xfId="0" applyFont="1" applyFill="1" applyAlignment="1">
      <alignment vertical="center" wrapText="1"/>
    </xf>
    <xf numFmtId="0" fontId="11" fillId="2" borderId="0" xfId="0" applyFont="1" applyFill="1" applyAlignment="1">
      <alignment horizontal="left" vertical="top" wrapText="1" indent="1"/>
    </xf>
    <xf numFmtId="166" fontId="13" fillId="2" borderId="0" xfId="0" applyNumberFormat="1" applyFont="1" applyFill="1" applyAlignment="1">
      <alignment horizontal="right" vertical="center" wrapText="1"/>
    </xf>
    <xf numFmtId="3" fontId="24" fillId="2" borderId="0" xfId="0" applyNumberFormat="1" applyFont="1" applyFill="1" applyAlignment="1">
      <alignment horizontal="center" vertical="center" wrapText="1"/>
    </xf>
    <xf numFmtId="3" fontId="24" fillId="2" borderId="0" xfId="0" applyNumberFormat="1" applyFont="1" applyFill="1" applyAlignment="1">
      <alignment vertical="center" wrapText="1"/>
    </xf>
    <xf numFmtId="0" fontId="15" fillId="2" borderId="0" xfId="0" applyFont="1" applyFill="1" applyAlignment="1">
      <alignment horizontal="left" vertical="top" wrapText="1"/>
    </xf>
    <xf numFmtId="0" fontId="24" fillId="2" borderId="0" xfId="0" applyFont="1" applyFill="1" applyAlignment="1">
      <alignment vertical="center" wrapText="1"/>
    </xf>
    <xf numFmtId="166" fontId="15" fillId="2" borderId="7" xfId="0" applyNumberFormat="1" applyFont="1" applyFill="1" applyBorder="1" applyAlignment="1">
      <alignment vertical="center" wrapText="1"/>
    </xf>
    <xf numFmtId="0" fontId="25" fillId="9" borderId="0" xfId="0" applyFont="1" applyFill="1"/>
    <xf numFmtId="0" fontId="25" fillId="9" borderId="4" xfId="0" applyFont="1" applyFill="1" applyBorder="1"/>
    <xf numFmtId="0" fontId="26" fillId="8" borderId="0" xfId="0" applyFont="1" applyFill="1"/>
    <xf numFmtId="0" fontId="26" fillId="8" borderId="4" xfId="0" applyFont="1" applyFill="1" applyBorder="1"/>
    <xf numFmtId="0" fontId="25" fillId="10" borderId="0" xfId="0" applyFont="1" applyFill="1" applyAlignment="1">
      <alignment wrapText="1"/>
    </xf>
    <xf numFmtId="0" fontId="25" fillId="10" borderId="4" xfId="0" applyFont="1" applyFill="1" applyBorder="1" applyAlignment="1">
      <alignment wrapText="1"/>
    </xf>
    <xf numFmtId="0" fontId="25" fillId="11" borderId="0" xfId="0" applyFont="1" applyFill="1" applyAlignment="1">
      <alignment wrapText="1"/>
    </xf>
    <xf numFmtId="0" fontId="27" fillId="12" borderId="1" xfId="0" applyFont="1" applyFill="1" applyBorder="1"/>
    <xf numFmtId="0" fontId="27" fillId="12" borderId="8" xfId="0" applyFont="1" applyFill="1" applyBorder="1"/>
    <xf numFmtId="0" fontId="28" fillId="12" borderId="1" xfId="0" applyFont="1" applyFill="1" applyBorder="1" applyAlignment="1">
      <alignment horizontal="right"/>
    </xf>
    <xf numFmtId="0" fontId="28" fillId="8" borderId="9" xfId="0" applyFont="1" applyFill="1" applyBorder="1"/>
    <xf numFmtId="169" fontId="11" fillId="2" borderId="9" xfId="0" applyNumberFormat="1" applyFont="1" applyFill="1" applyBorder="1"/>
    <xf numFmtId="0" fontId="29" fillId="8" borderId="0" xfId="0" applyFont="1" applyFill="1"/>
    <xf numFmtId="170" fontId="26" fillId="8" borderId="0" xfId="0" applyNumberFormat="1" applyFont="1" applyFill="1"/>
    <xf numFmtId="170" fontId="26" fillId="8" borderId="4" xfId="0" applyNumberFormat="1" applyFont="1" applyFill="1" applyBorder="1"/>
    <xf numFmtId="0" fontId="26" fillId="8" borderId="8" xfId="0" applyFont="1" applyFill="1" applyBorder="1"/>
    <xf numFmtId="169" fontId="21" fillId="8" borderId="9" xfId="0" applyNumberFormat="1" applyFont="1" applyFill="1" applyBorder="1"/>
    <xf numFmtId="170" fontId="21" fillId="8" borderId="0" xfId="0" applyNumberFormat="1" applyFont="1" applyFill="1"/>
    <xf numFmtId="10" fontId="26" fillId="8" borderId="0" xfId="0" applyNumberFormat="1" applyFont="1" applyFill="1"/>
    <xf numFmtId="10" fontId="26" fillId="8" borderId="4" xfId="0" applyNumberFormat="1" applyFont="1" applyFill="1" applyBorder="1"/>
    <xf numFmtId="170" fontId="26" fillId="8" borderId="11" xfId="0" applyNumberFormat="1" applyFont="1" applyFill="1" applyBorder="1"/>
    <xf numFmtId="169" fontId="11" fillId="2" borderId="12" xfId="0" applyNumberFormat="1" applyFont="1" applyFill="1" applyBorder="1"/>
    <xf numFmtId="169" fontId="11" fillId="2" borderId="10" xfId="0" applyNumberFormat="1" applyFont="1" applyFill="1" applyBorder="1"/>
    <xf numFmtId="172" fontId="26" fillId="8" borderId="0" xfId="0" applyNumberFormat="1" applyFont="1" applyFill="1"/>
    <xf numFmtId="170" fontId="26" fillId="8" borderId="13" xfId="0" applyNumberFormat="1" applyFont="1" applyFill="1" applyBorder="1"/>
    <xf numFmtId="169" fontId="21" fillId="2" borderId="10" xfId="0" applyNumberFormat="1" applyFont="1" applyFill="1" applyBorder="1"/>
    <xf numFmtId="169" fontId="21" fillId="2" borderId="9" xfId="0" applyNumberFormat="1" applyFont="1" applyFill="1" applyBorder="1"/>
    <xf numFmtId="170" fontId="26" fillId="8" borderId="0" xfId="0" applyNumberFormat="1" applyFont="1" applyFill="1" applyAlignment="1">
      <alignment horizontal="right"/>
    </xf>
    <xf numFmtId="170" fontId="26" fillId="8" borderId="4" xfId="0" applyNumberFormat="1" applyFont="1" applyFill="1" applyBorder="1" applyAlignment="1">
      <alignment horizontal="right"/>
    </xf>
    <xf numFmtId="170" fontId="13" fillId="8" borderId="14" xfId="0" applyNumberFormat="1" applyFont="1" applyFill="1" applyBorder="1"/>
    <xf numFmtId="0" fontId="26" fillId="0" borderId="0" xfId="0" applyFont="1"/>
    <xf numFmtId="0" fontId="11" fillId="2" borderId="4" xfId="0" applyFont="1" applyFill="1" applyBorder="1"/>
    <xf numFmtId="0" fontId="25" fillId="6" borderId="0" xfId="0" applyFont="1" applyFill="1" applyAlignment="1">
      <alignment horizontal="center" wrapText="1"/>
    </xf>
    <xf numFmtId="0" fontId="25" fillId="6" borderId="4" xfId="0" applyFont="1" applyFill="1" applyBorder="1" applyAlignment="1">
      <alignment horizontal="center" wrapText="1"/>
    </xf>
    <xf numFmtId="0" fontId="25" fillId="7" borderId="0" xfId="0" applyFont="1" applyFill="1" applyAlignment="1">
      <alignment horizontal="center" wrapText="1"/>
    </xf>
    <xf numFmtId="171" fontId="20" fillId="2" borderId="9" xfId="0" applyNumberFormat="1" applyFont="1" applyFill="1" applyBorder="1"/>
    <xf numFmtId="171" fontId="30" fillId="2" borderId="0" xfId="0" applyNumberFormat="1" applyFont="1" applyFill="1"/>
    <xf numFmtId="170" fontId="11" fillId="2" borderId="0" xfId="0" applyNumberFormat="1" applyFont="1" applyFill="1"/>
    <xf numFmtId="170" fontId="11" fillId="2" borderId="4" xfId="0" applyNumberFormat="1" applyFont="1" applyFill="1" applyBorder="1"/>
    <xf numFmtId="174" fontId="11" fillId="2" borderId="0" xfId="0" applyNumberFormat="1" applyFont="1" applyFill="1"/>
    <xf numFmtId="170" fontId="11" fillId="2" borderId="0" xfId="0" applyNumberFormat="1" applyFont="1" applyFill="1" applyAlignment="1">
      <alignment horizontal="right"/>
    </xf>
    <xf numFmtId="171" fontId="31" fillId="2" borderId="0" xfId="0" applyNumberFormat="1" applyFont="1" applyFill="1"/>
    <xf numFmtId="169" fontId="15" fillId="2" borderId="9" xfId="0" applyNumberFormat="1" applyFont="1" applyFill="1" applyBorder="1"/>
    <xf numFmtId="170" fontId="11" fillId="2" borderId="14" xfId="0" applyNumberFormat="1" applyFont="1" applyFill="1" applyBorder="1"/>
    <xf numFmtId="0" fontId="11" fillId="2" borderId="0" xfId="0" applyFont="1" applyFill="1" applyAlignment="1">
      <alignment wrapText="1"/>
    </xf>
    <xf numFmtId="0" fontId="11" fillId="2" borderId="8" xfId="0" applyFont="1" applyFill="1" applyBorder="1"/>
    <xf numFmtId="169" fontId="11" fillId="2" borderId="0" xfId="0" applyNumberFormat="1" applyFont="1" applyFill="1"/>
    <xf numFmtId="0" fontId="32" fillId="9" borderId="0" xfId="0" applyFont="1" applyFill="1"/>
    <xf numFmtId="0" fontId="28" fillId="13" borderId="0" xfId="0" applyFont="1" applyFill="1" applyAlignment="1">
      <alignment horizontal="right" vertical="center"/>
    </xf>
    <xf numFmtId="169" fontId="13" fillId="8" borderId="9" xfId="0" applyNumberFormat="1" applyFont="1" applyFill="1" applyBorder="1"/>
    <xf numFmtId="169" fontId="13" fillId="8" borderId="12" xfId="0" applyNumberFormat="1" applyFont="1" applyFill="1" applyBorder="1"/>
    <xf numFmtId="166" fontId="13" fillId="2" borderId="0" xfId="0" applyNumberFormat="1" applyFont="1" applyFill="1"/>
    <xf numFmtId="0" fontId="12" fillId="14" borderId="0" xfId="0" applyFont="1" applyFill="1"/>
    <xf numFmtId="0" fontId="12" fillId="14" borderId="4" xfId="0" applyFont="1" applyFill="1" applyBorder="1"/>
    <xf numFmtId="0" fontId="20" fillId="15" borderId="1" xfId="0" applyFont="1" applyFill="1" applyBorder="1" applyAlignment="1">
      <alignment horizontal="right"/>
    </xf>
    <xf numFmtId="0" fontId="15" fillId="2" borderId="9" xfId="0" applyFont="1" applyFill="1" applyBorder="1"/>
    <xf numFmtId="169" fontId="13" fillId="8" borderId="10" xfId="0" applyNumberFormat="1" applyFont="1" applyFill="1" applyBorder="1"/>
    <xf numFmtId="169" fontId="0" fillId="2" borderId="0" xfId="0" applyNumberFormat="1" applyFill="1"/>
    <xf numFmtId="0" fontId="33" fillId="2" borderId="0" xfId="0" applyFont="1" applyFill="1"/>
    <xf numFmtId="170" fontId="13" fillId="2" borderId="0" xfId="0" applyNumberFormat="1" applyFont="1" applyFill="1"/>
    <xf numFmtId="170" fontId="11" fillId="2" borderId="3" xfId="0" applyNumberFormat="1" applyFont="1" applyFill="1" applyBorder="1"/>
    <xf numFmtId="170" fontId="0" fillId="2" borderId="0" xfId="0" applyNumberFormat="1" applyFill="1"/>
    <xf numFmtId="0" fontId="11" fillId="2" borderId="3" xfId="0" applyFont="1" applyFill="1" applyBorder="1"/>
    <xf numFmtId="169" fontId="13" fillId="13" borderId="9" xfId="0" applyNumberFormat="1" applyFont="1" applyFill="1" applyBorder="1"/>
    <xf numFmtId="169" fontId="13" fillId="13" borderId="10" xfId="0" applyNumberFormat="1" applyFont="1" applyFill="1" applyBorder="1"/>
    <xf numFmtId="0" fontId="15" fillId="0" borderId="9" xfId="0" applyFont="1" applyBorder="1"/>
    <xf numFmtId="170" fontId="13" fillId="2" borderId="4" xfId="0" applyNumberFormat="1" applyFont="1" applyFill="1" applyBorder="1"/>
    <xf numFmtId="0" fontId="12" fillId="14" borderId="0" xfId="0" applyFont="1" applyFill="1" applyAlignment="1">
      <alignment horizontal="left"/>
    </xf>
    <xf numFmtId="0" fontId="12" fillId="14" borderId="4" xfId="0" applyFont="1" applyFill="1" applyBorder="1" applyAlignment="1">
      <alignment horizontal="left"/>
    </xf>
    <xf numFmtId="169" fontId="34" fillId="8" borderId="9" xfId="0" applyNumberFormat="1" applyFont="1" applyFill="1" applyBorder="1"/>
    <xf numFmtId="170" fontId="35" fillId="2" borderId="0" xfId="0" applyNumberFormat="1" applyFont="1" applyFill="1"/>
    <xf numFmtId="169" fontId="11" fillId="2" borderId="9" xfId="0" applyNumberFormat="1" applyFont="1" applyFill="1" applyBorder="1" applyAlignment="1">
      <alignment horizontal="right"/>
    </xf>
    <xf numFmtId="169" fontId="13" fillId="2" borderId="9" xfId="0" applyNumberFormat="1" applyFont="1" applyFill="1" applyBorder="1" applyAlignment="1">
      <alignment horizontal="right"/>
    </xf>
    <xf numFmtId="169" fontId="13" fillId="2" borderId="12" xfId="0" applyNumberFormat="1" applyFont="1" applyFill="1" applyBorder="1" applyAlignment="1">
      <alignment horizontal="right"/>
    </xf>
    <xf numFmtId="172" fontId="15" fillId="2" borderId="9" xfId="0" applyNumberFormat="1" applyFont="1" applyFill="1" applyBorder="1"/>
    <xf numFmtId="172" fontId="11" fillId="2" borderId="9" xfId="0" applyNumberFormat="1" applyFont="1" applyFill="1" applyBorder="1"/>
    <xf numFmtId="0" fontId="11" fillId="2" borderId="9" xfId="0" applyFont="1" applyFill="1" applyBorder="1"/>
    <xf numFmtId="0" fontId="11" fillId="2" borderId="12" xfId="0" applyFont="1" applyFill="1" applyBorder="1"/>
    <xf numFmtId="10" fontId="13" fillId="2" borderId="9" xfId="0" applyNumberFormat="1" applyFont="1" applyFill="1" applyBorder="1"/>
    <xf numFmtId="0" fontId="11" fillId="2" borderId="13" xfId="0" applyFont="1" applyFill="1" applyBorder="1"/>
    <xf numFmtId="8" fontId="11" fillId="2" borderId="9" xfId="0" applyNumberFormat="1" applyFont="1" applyFill="1" applyBorder="1"/>
    <xf numFmtId="0" fontId="12" fillId="2" borderId="0" xfId="0" applyFont="1" applyFill="1"/>
    <xf numFmtId="0" fontId="15" fillId="15" borderId="1" xfId="0" applyFont="1" applyFill="1" applyBorder="1"/>
    <xf numFmtId="0" fontId="11" fillId="15" borderId="1" xfId="0" applyFont="1" applyFill="1" applyBorder="1"/>
    <xf numFmtId="0" fontId="11" fillId="15" borderId="1" xfId="0" applyFont="1" applyFill="1" applyBorder="1" applyAlignment="1">
      <alignment horizontal="right"/>
    </xf>
    <xf numFmtId="169" fontId="11" fillId="2" borderId="0" xfId="0" applyNumberFormat="1" applyFont="1" applyFill="1" applyAlignment="1">
      <alignment horizontal="right"/>
    </xf>
    <xf numFmtId="168" fontId="21" fillId="2" borderId="15" xfId="0" applyNumberFormat="1" applyFont="1" applyFill="1" applyBorder="1"/>
    <xf numFmtId="10" fontId="21" fillId="2" borderId="15" xfId="0" applyNumberFormat="1" applyFont="1" applyFill="1" applyBorder="1"/>
    <xf numFmtId="10" fontId="13" fillId="2" borderId="15" xfId="0" applyNumberFormat="1" applyFont="1" applyFill="1" applyBorder="1"/>
    <xf numFmtId="169" fontId="13" fillId="2" borderId="0" xfId="0" applyNumberFormat="1" applyFont="1" applyFill="1" applyAlignment="1">
      <alignment horizontal="right"/>
    </xf>
    <xf numFmtId="3" fontId="13" fillId="2" borderId="0" xfId="0" applyNumberFormat="1" applyFont="1" applyFill="1"/>
    <xf numFmtId="0" fontId="22" fillId="5" borderId="0" xfId="0" applyFont="1" applyFill="1" applyAlignment="1">
      <alignment horizontal="centerContinuous"/>
    </xf>
    <xf numFmtId="0" fontId="22" fillId="14" borderId="0" xfId="0" applyFont="1" applyFill="1"/>
    <xf numFmtId="166" fontId="14" fillId="2" borderId="5" xfId="0" applyNumberFormat="1" applyFont="1" applyFill="1" applyBorder="1" applyAlignment="1">
      <alignment horizontal="right" vertical="center" wrapText="1"/>
    </xf>
    <xf numFmtId="166" fontId="14" fillId="2" borderId="0" xfId="2" applyNumberFormat="1" applyFont="1" applyFill="1" applyAlignment="1">
      <alignment horizontal="right" vertical="center" wrapText="1"/>
    </xf>
    <xf numFmtId="166" fontId="14" fillId="2" borderId="0" xfId="2" applyNumberFormat="1" applyFont="1" applyFill="1" applyAlignment="1">
      <alignment horizontal="right" vertical="center"/>
    </xf>
    <xf numFmtId="166" fontId="14" fillId="2" borderId="0" xfId="0" applyNumberFormat="1" applyFont="1" applyFill="1" applyAlignment="1">
      <alignment horizontal="right" vertical="center" wrapText="1"/>
    </xf>
    <xf numFmtId="166" fontId="14" fillId="2" borderId="5" xfId="2" applyNumberFormat="1" applyFont="1" applyFill="1" applyBorder="1" applyAlignment="1">
      <alignment horizontal="right" vertical="center" wrapText="1"/>
    </xf>
    <xf numFmtId="166" fontId="14" fillId="2" borderId="0" xfId="0" applyNumberFormat="1" applyFont="1" applyFill="1" applyAlignment="1">
      <alignment horizontal="right" vertical="center"/>
    </xf>
    <xf numFmtId="166" fontId="14" fillId="2" borderId="5" xfId="0" applyNumberFormat="1" applyFont="1" applyFill="1" applyBorder="1" applyAlignment="1">
      <alignment horizontal="right" vertical="center"/>
    </xf>
    <xf numFmtId="166" fontId="14" fillId="2" borderId="0" xfId="0" applyNumberFormat="1" applyFont="1" applyFill="1" applyAlignment="1">
      <alignment vertical="center" wrapText="1"/>
    </xf>
    <xf numFmtId="166" fontId="14" fillId="2" borderId="5" xfId="0" applyNumberFormat="1" applyFont="1" applyFill="1" applyBorder="1" applyAlignment="1">
      <alignment vertical="center" wrapText="1"/>
    </xf>
    <xf numFmtId="43" fontId="14" fillId="2" borderId="0" xfId="2" applyFont="1" applyFill="1" applyAlignment="1">
      <alignment horizontal="center" vertical="center" wrapText="1"/>
    </xf>
    <xf numFmtId="166" fontId="14" fillId="2" borderId="0" xfId="0" applyNumberFormat="1" applyFont="1" applyFill="1" applyAlignment="1">
      <alignment horizontal="center" vertical="center" wrapText="1"/>
    </xf>
    <xf numFmtId="43" fontId="14" fillId="2" borderId="0" xfId="2" applyFont="1" applyFill="1" applyBorder="1" applyAlignment="1">
      <alignment horizontal="center" vertical="center" wrapText="1"/>
    </xf>
    <xf numFmtId="43" fontId="14" fillId="2" borderId="5" xfId="2" applyFont="1" applyFill="1" applyBorder="1" applyAlignment="1">
      <alignment horizontal="center" vertical="center" wrapText="1"/>
    </xf>
    <xf numFmtId="166" fontId="14" fillId="2" borderId="5" xfId="0" applyNumberFormat="1" applyFont="1" applyFill="1" applyBorder="1" applyAlignment="1">
      <alignment wrapText="1"/>
    </xf>
    <xf numFmtId="10" fontId="14" fillId="2" borderId="0" xfId="0" applyNumberFormat="1" applyFont="1" applyFill="1" applyAlignment="1">
      <alignment horizontal="center"/>
    </xf>
    <xf numFmtId="166" fontId="15" fillId="2" borderId="0" xfId="0" applyNumberFormat="1" applyFont="1" applyFill="1" applyAlignment="1">
      <alignment horizontal="right"/>
    </xf>
    <xf numFmtId="166" fontId="14" fillId="2" borderId="0" xfId="0" applyNumberFormat="1" applyFont="1" applyFill="1" applyAlignment="1">
      <alignment horizontal="right" wrapText="1"/>
    </xf>
    <xf numFmtId="167" fontId="11" fillId="2" borderId="0" xfId="0" applyNumberFormat="1" applyFont="1" applyFill="1"/>
    <xf numFmtId="166" fontId="24" fillId="2" borderId="0" xfId="0" applyNumberFormat="1" applyFont="1" applyFill="1"/>
    <xf numFmtId="169" fontId="15" fillId="2" borderId="7" xfId="0" applyNumberFormat="1" applyFont="1" applyFill="1" applyBorder="1"/>
    <xf numFmtId="175" fontId="15" fillId="2" borderId="0" xfId="0" applyNumberFormat="1" applyFont="1" applyFill="1" applyAlignment="1">
      <alignment horizontal="right" vertical="center"/>
    </xf>
    <xf numFmtId="176" fontId="15" fillId="2" borderId="0" xfId="0" applyNumberFormat="1" applyFont="1" applyFill="1" applyAlignment="1">
      <alignment horizontal="right" vertical="center"/>
    </xf>
    <xf numFmtId="177" fontId="0" fillId="2" borderId="0" xfId="0" applyNumberFormat="1" applyFill="1"/>
    <xf numFmtId="0" fontId="36" fillId="2" borderId="0" xfId="0" applyFont="1" applyFill="1"/>
    <xf numFmtId="172" fontId="37" fillId="2" borderId="0" xfId="0" applyNumberFormat="1" applyFont="1" applyFill="1"/>
    <xf numFmtId="0" fontId="38" fillId="2" borderId="0" xfId="0" applyFont="1" applyFill="1"/>
    <xf numFmtId="176" fontId="15" fillId="2" borderId="2" xfId="0" applyNumberFormat="1" applyFont="1" applyFill="1" applyBorder="1" applyAlignment="1">
      <alignment horizontal="right"/>
    </xf>
    <xf numFmtId="176" fontId="15" fillId="2" borderId="2" xfId="0" applyNumberFormat="1" applyFont="1" applyFill="1" applyBorder="1" applyAlignment="1">
      <alignment horizontal="right" vertical="center"/>
    </xf>
    <xf numFmtId="170" fontId="13" fillId="2" borderId="0" xfId="0" applyNumberFormat="1" applyFont="1" applyFill="1" applyAlignment="1">
      <alignment horizontal="right"/>
    </xf>
    <xf numFmtId="0" fontId="15" fillId="2" borderId="0" xfId="0" applyFont="1" applyFill="1" applyAlignment="1">
      <alignment vertical="top" wrapText="1"/>
    </xf>
    <xf numFmtId="10" fontId="11" fillId="2" borderId="1" xfId="1" applyNumberFormat="1" applyFont="1" applyFill="1" applyBorder="1"/>
    <xf numFmtId="167" fontId="19" fillId="2" borderId="0" xfId="0" applyNumberFormat="1" applyFont="1" applyFill="1"/>
    <xf numFmtId="0" fontId="19" fillId="2" borderId="0" xfId="0" applyFont="1" applyFill="1"/>
    <xf numFmtId="2" fontId="11" fillId="2" borderId="0" xfId="0" applyNumberFormat="1" applyFont="1" applyFill="1" applyAlignment="1">
      <alignment vertical="center" wrapText="1"/>
    </xf>
    <xf numFmtId="170" fontId="21" fillId="2" borderId="11" xfId="0" applyNumberFormat="1" applyFont="1" applyFill="1" applyBorder="1"/>
    <xf numFmtId="170" fontId="21" fillId="2" borderId="0" xfId="0" applyNumberFormat="1" applyFont="1" applyFill="1"/>
    <xf numFmtId="170" fontId="21" fillId="2" borderId="3" xfId="0" applyNumberFormat="1" applyFont="1" applyFill="1" applyBorder="1"/>
    <xf numFmtId="172" fontId="21" fillId="2" borderId="0" xfId="0" applyNumberFormat="1" applyFont="1" applyFill="1"/>
    <xf numFmtId="169" fontId="21" fillId="2" borderId="9" xfId="0" applyNumberFormat="1" applyFont="1" applyFill="1" applyBorder="1" applyAlignment="1">
      <alignment horizontal="right"/>
    </xf>
    <xf numFmtId="169" fontId="39" fillId="2" borderId="0" xfId="0" applyNumberFormat="1" applyFont="1" applyFill="1"/>
    <xf numFmtId="173" fontId="21" fillId="2" borderId="9" xfId="0" applyNumberFormat="1" applyFont="1" applyFill="1" applyBorder="1" applyAlignment="1">
      <alignment horizontal="right"/>
    </xf>
    <xf numFmtId="170" fontId="11" fillId="8" borderId="0" xfId="0" applyNumberFormat="1" applyFont="1" applyFill="1"/>
    <xf numFmtId="170" fontId="11" fillId="8" borderId="11" xfId="0" applyNumberFormat="1" applyFont="1" applyFill="1" applyBorder="1"/>
    <xf numFmtId="170" fontId="21" fillId="2" borderId="4" xfId="0" applyNumberFormat="1" applyFont="1" applyFill="1" applyBorder="1"/>
    <xf numFmtId="169" fontId="21" fillId="2" borderId="12" xfId="0" applyNumberFormat="1" applyFont="1" applyFill="1" applyBorder="1" applyAlignment="1">
      <alignment horizontal="right"/>
    </xf>
    <xf numFmtId="169" fontId="21" fillId="0" borderId="9" xfId="0" applyNumberFormat="1" applyFont="1" applyBorder="1" applyAlignment="1">
      <alignment horizontal="right"/>
    </xf>
    <xf numFmtId="10" fontId="26" fillId="8" borderId="0" xfId="1" applyNumberFormat="1" applyFont="1" applyFill="1"/>
    <xf numFmtId="10" fontId="26" fillId="8" borderId="4" xfId="1" applyNumberFormat="1" applyFont="1" applyFill="1" applyBorder="1"/>
    <xf numFmtId="169" fontId="21" fillId="2" borderId="12" xfId="0" applyNumberFormat="1" applyFont="1" applyFill="1" applyBorder="1"/>
    <xf numFmtId="169" fontId="11" fillId="2" borderId="12" xfId="0" applyNumberFormat="1" applyFont="1" applyFill="1" applyBorder="1" applyAlignment="1">
      <alignment horizontal="right"/>
    </xf>
    <xf numFmtId="170" fontId="21" fillId="2" borderId="9" xfId="0" applyNumberFormat="1" applyFont="1" applyFill="1" applyBorder="1"/>
    <xf numFmtId="0" fontId="41" fillId="14" borderId="0" xfId="0" applyFont="1" applyFill="1"/>
    <xf numFmtId="168" fontId="43" fillId="16" borderId="0" xfId="0" applyNumberFormat="1" applyFont="1" applyFill="1"/>
    <xf numFmtId="10" fontId="43" fillId="16" borderId="0" xfId="0" applyNumberFormat="1" applyFont="1" applyFill="1"/>
    <xf numFmtId="10" fontId="42" fillId="16" borderId="0" xfId="0" applyNumberFormat="1" applyFont="1" applyFill="1"/>
    <xf numFmtId="169" fontId="14" fillId="8" borderId="9" xfId="0" applyNumberFormat="1" applyFont="1" applyFill="1" applyBorder="1"/>
    <xf numFmtId="0" fontId="42" fillId="2" borderId="0" xfId="0" applyFont="1" applyFill="1"/>
    <xf numFmtId="0" fontId="43" fillId="2" borderId="0" xfId="0" applyFont="1" applyFill="1"/>
    <xf numFmtId="0" fontId="43" fillId="2" borderId="16" xfId="0" applyFont="1" applyFill="1" applyBorder="1"/>
    <xf numFmtId="0" fontId="43" fillId="2" borderId="17" xfId="0" applyFont="1" applyFill="1" applyBorder="1"/>
    <xf numFmtId="0" fontId="43" fillId="2" borderId="20" xfId="0" applyFont="1" applyFill="1" applyBorder="1"/>
    <xf numFmtId="169" fontId="43" fillId="2" borderId="0" xfId="0" applyNumberFormat="1" applyFont="1" applyFill="1" applyAlignment="1">
      <alignment horizontal="right"/>
    </xf>
    <xf numFmtId="0" fontId="42" fillId="2" borderId="10" xfId="0" applyFont="1" applyFill="1" applyBorder="1"/>
    <xf numFmtId="0" fontId="42" fillId="2" borderId="9" xfId="0" applyFont="1" applyFill="1" applyBorder="1"/>
    <xf numFmtId="0" fontId="42" fillId="2" borderId="12" xfId="0" applyFont="1" applyFill="1" applyBorder="1"/>
    <xf numFmtId="2" fontId="43" fillId="2" borderId="0" xfId="0" applyNumberFormat="1" applyFont="1" applyFill="1"/>
    <xf numFmtId="2" fontId="43" fillId="2" borderId="11" xfId="0" applyNumberFormat="1" applyFont="1" applyFill="1" applyBorder="1"/>
    <xf numFmtId="2" fontId="43" fillId="2" borderId="14" xfId="0" applyNumberFormat="1" applyFont="1" applyFill="1" applyBorder="1"/>
    <xf numFmtId="2" fontId="43" fillId="2" borderId="13" xfId="0" applyNumberFormat="1" applyFont="1" applyFill="1" applyBorder="1"/>
    <xf numFmtId="2" fontId="42" fillId="2" borderId="0" xfId="0" applyNumberFormat="1" applyFont="1" applyFill="1"/>
    <xf numFmtId="2" fontId="42" fillId="2" borderId="3" xfId="0" applyNumberFormat="1" applyFont="1" applyFill="1" applyBorder="1"/>
    <xf numFmtId="2" fontId="42" fillId="2" borderId="18" xfId="0" applyNumberFormat="1" applyFont="1" applyFill="1" applyBorder="1"/>
    <xf numFmtId="2" fontId="42" fillId="2" borderId="4" xfId="0" applyNumberFormat="1" applyFont="1" applyFill="1" applyBorder="1"/>
    <xf numFmtId="2" fontId="42" fillId="2" borderId="19" xfId="0" applyNumberFormat="1" applyFont="1" applyFill="1" applyBorder="1"/>
    <xf numFmtId="2" fontId="42" fillId="2" borderId="1" xfId="0" applyNumberFormat="1" applyFont="1" applyFill="1" applyBorder="1"/>
    <xf numFmtId="2" fontId="42" fillId="2" borderId="8" xfId="0" applyNumberFormat="1" applyFont="1" applyFill="1" applyBorder="1"/>
    <xf numFmtId="0" fontId="40" fillId="2" borderId="0" xfId="0" applyFont="1" applyFill="1" applyAlignment="1">
      <alignment horizontal="left"/>
    </xf>
    <xf numFmtId="3" fontId="0" fillId="2" borderId="0" xfId="0" applyNumberFormat="1" applyFill="1" applyAlignment="1">
      <alignment horizontal="right"/>
    </xf>
    <xf numFmtId="43" fontId="0" fillId="2" borderId="0" xfId="2" applyFont="1" applyFill="1" applyAlignment="1">
      <alignment horizontal="right"/>
    </xf>
    <xf numFmtId="0" fontId="0" fillId="2" borderId="0" xfId="0" applyFill="1" applyAlignment="1">
      <alignment horizontal="left"/>
    </xf>
    <xf numFmtId="178" fontId="0" fillId="2" borderId="0" xfId="2" applyNumberFormat="1" applyFont="1" applyFill="1" applyAlignment="1">
      <alignment horizontal="left"/>
    </xf>
    <xf numFmtId="43" fontId="0" fillId="2" borderId="0" xfId="2" applyFont="1" applyFill="1" applyAlignment="1">
      <alignment horizontal="left"/>
    </xf>
    <xf numFmtId="0" fontId="0" fillId="2" borderId="0" xfId="0" quotePrefix="1" applyFill="1" applyAlignment="1">
      <alignment horizontal="left"/>
    </xf>
    <xf numFmtId="168" fontId="0" fillId="2" borderId="0" xfId="1" applyNumberFormat="1" applyFont="1" applyFill="1" applyAlignment="1">
      <alignment horizontal="right"/>
    </xf>
    <xf numFmtId="0" fontId="0" fillId="2" borderId="0" xfId="0" quotePrefix="1" applyFill="1" applyAlignment="1">
      <alignment horizontal="left" indent="1"/>
    </xf>
    <xf numFmtId="0" fontId="0" fillId="2" borderId="0" xfId="0" applyFill="1" applyAlignment="1">
      <alignment horizontal="left" indent="1"/>
    </xf>
    <xf numFmtId="0" fontId="2" fillId="2" borderId="0" xfId="0" applyFont="1" applyFill="1"/>
    <xf numFmtId="3" fontId="44" fillId="2" borderId="0" xfId="0" applyNumberFormat="1" applyFont="1" applyFill="1" applyAlignment="1">
      <alignment horizontal="right"/>
    </xf>
    <xf numFmtId="168" fontId="0" fillId="2" borderId="0" xfId="2" applyNumberFormat="1" applyFont="1" applyFill="1" applyAlignment="1">
      <alignment horizontal="right"/>
    </xf>
    <xf numFmtId="168" fontId="0" fillId="0" borderId="0" xfId="0" applyNumberFormat="1" applyAlignment="1">
      <alignment horizontal="right"/>
    </xf>
    <xf numFmtId="0" fontId="0" fillId="2" borderId="4" xfId="0" applyFill="1" applyBorder="1"/>
    <xf numFmtId="168" fontId="0" fillId="2" borderId="4" xfId="1" applyNumberFormat="1" applyFont="1" applyFill="1" applyBorder="1" applyAlignment="1">
      <alignment horizontal="right"/>
    </xf>
    <xf numFmtId="3" fontId="0" fillId="2" borderId="4" xfId="0" applyNumberFormat="1" applyFill="1" applyBorder="1" applyAlignment="1">
      <alignment horizontal="right"/>
    </xf>
    <xf numFmtId="178" fontId="0" fillId="2" borderId="4" xfId="2" applyNumberFormat="1" applyFont="1" applyFill="1" applyBorder="1" applyAlignment="1">
      <alignment horizontal="left"/>
    </xf>
    <xf numFmtId="3" fontId="44" fillId="2" borderId="4" xfId="0" applyNumberFormat="1" applyFont="1" applyFill="1" applyBorder="1" applyAlignment="1">
      <alignment horizontal="right"/>
    </xf>
    <xf numFmtId="0" fontId="25" fillId="11" borderId="0" xfId="0" applyFont="1" applyFill="1" applyAlignment="1">
      <alignment horizontal="left" wrapText="1"/>
    </xf>
    <xf numFmtId="0" fontId="20" fillId="15" borderId="0" xfId="0" applyFont="1" applyFill="1" applyAlignment="1">
      <alignment horizontal="right"/>
    </xf>
    <xf numFmtId="0" fontId="20" fillId="15" borderId="4" xfId="0" applyFont="1" applyFill="1" applyBorder="1" applyAlignment="1">
      <alignment horizontal="right"/>
    </xf>
    <xf numFmtId="0" fontId="2" fillId="2" borderId="9" xfId="0" applyFont="1" applyFill="1" applyBorder="1" applyAlignment="1">
      <alignment horizontal="left"/>
    </xf>
    <xf numFmtId="3" fontId="45" fillId="2" borderId="9" xfId="0" applyNumberFormat="1" applyFont="1" applyFill="1" applyBorder="1" applyAlignment="1">
      <alignment horizontal="right"/>
    </xf>
    <xf numFmtId="3" fontId="45" fillId="2" borderId="12" xfId="0" applyNumberFormat="1" applyFont="1" applyFill="1" applyBorder="1" applyAlignment="1">
      <alignment horizontal="right"/>
    </xf>
    <xf numFmtId="3" fontId="2" fillId="2" borderId="9" xfId="0" applyNumberFormat="1" applyFont="1" applyFill="1" applyBorder="1" applyAlignment="1">
      <alignment horizontal="right"/>
    </xf>
    <xf numFmtId="178" fontId="2" fillId="2" borderId="9" xfId="2" applyNumberFormat="1" applyFont="1" applyFill="1" applyBorder="1" applyAlignment="1">
      <alignment horizontal="left"/>
    </xf>
    <xf numFmtId="178" fontId="2" fillId="2" borderId="12" xfId="2" applyNumberFormat="1" applyFont="1" applyFill="1" applyBorder="1" applyAlignment="1">
      <alignment horizontal="left"/>
    </xf>
    <xf numFmtId="3" fontId="2" fillId="2" borderId="12" xfId="0" applyNumberFormat="1" applyFont="1" applyFill="1" applyBorder="1" applyAlignment="1">
      <alignment horizontal="right"/>
    </xf>
    <xf numFmtId="43" fontId="14" fillId="2" borderId="0" xfId="2" applyFont="1" applyFill="1" applyAlignment="1">
      <alignment horizontal="right" vertical="center" wrapText="1"/>
    </xf>
    <xf numFmtId="0" fontId="11" fillId="8" borderId="0" xfId="0" applyFont="1" applyFill="1"/>
    <xf numFmtId="0" fontId="15" fillId="8" borderId="9" xfId="0" applyFont="1" applyFill="1" applyBorder="1"/>
    <xf numFmtId="0" fontId="33" fillId="8" borderId="0" xfId="0" applyFont="1" applyFill="1"/>
    <xf numFmtId="172" fontId="33" fillId="8" borderId="0" xfId="0" applyNumberFormat="1" applyFont="1" applyFill="1"/>
    <xf numFmtId="0" fontId="46" fillId="2" borderId="0" xfId="0" applyFont="1" applyFill="1"/>
    <xf numFmtId="0" fontId="19" fillId="2" borderId="0" xfId="0" applyFont="1" applyFill="1" applyAlignment="1">
      <alignment vertical="center"/>
    </xf>
    <xf numFmtId="10" fontId="46" fillId="2" borderId="0" xfId="0" applyNumberFormat="1" applyFont="1" applyFill="1"/>
    <xf numFmtId="3" fontId="19" fillId="2" borderId="0" xfId="0" applyNumberFormat="1" applyFont="1" applyFill="1"/>
    <xf numFmtId="168" fontId="0" fillId="2" borderId="0" xfId="0" applyNumberFormat="1" applyFill="1" applyAlignment="1">
      <alignment horizontal="right"/>
    </xf>
    <xf numFmtId="169" fontId="14" fillId="8" borderId="12" xfId="0" applyNumberFormat="1" applyFont="1" applyFill="1" applyBorder="1"/>
    <xf numFmtId="0" fontId="22" fillId="3" borderId="0" xfId="0" applyFont="1" applyFill="1" applyAlignment="1">
      <alignment horizontal="center" vertical="center"/>
    </xf>
    <xf numFmtId="0" fontId="23" fillId="4" borderId="0" xfId="0" applyFont="1" applyFill="1"/>
  </cellXfs>
  <cellStyles count="3">
    <cellStyle name="Milliers" xfId="2" builtinId="3"/>
    <cellStyle name="Normal" xfId="0" builtinId="0"/>
    <cellStyle name="Pourcentage"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roma1it-my.sharepoint.com/personal/ceci_2023979_studenti_uniroma1_it/Documents/prova%20valerio%20FS.xlsx" TargetMode="External"/><Relationship Id="rId1" Type="http://schemas.openxmlformats.org/officeDocument/2006/relationships/externalLinkPath" Target="https://uniroma1it-my.sharepoint.com/personal/ceci_2023979_studenti_uniroma1_it/Documents/prova%20valerio%20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sh Flow Statement"/>
      <sheetName val="Income Statement"/>
      <sheetName val="Balance Sheet"/>
      <sheetName val="Sheet1"/>
    </sheetNames>
    <sheetDataSet>
      <sheetData sheetId="0"/>
      <sheetData sheetId="1"/>
      <sheetData sheetId="2">
        <row r="4">
          <cell r="F4">
            <v>1438913</v>
          </cell>
        </row>
        <row r="48">
          <cell r="C48">
            <v>-826358</v>
          </cell>
          <cell r="D48">
            <v>-1185932</v>
          </cell>
          <cell r="E48">
            <v>-1327351</v>
          </cell>
          <cell r="F48">
            <v>-1145379</v>
          </cell>
        </row>
        <row r="49">
          <cell r="C49"/>
          <cell r="D49">
            <v>-359574</v>
          </cell>
          <cell r="E49">
            <v>-141419</v>
          </cell>
          <cell r="F49">
            <v>181972</v>
          </cell>
        </row>
      </sheetData>
      <sheetData sheetId="3"/>
    </sheetDataSet>
  </externalBook>
</externalLink>
</file>

<file path=xl/persons/person.xml><?xml version="1.0" encoding="utf-8"?>
<personList xmlns="http://schemas.microsoft.com/office/spreadsheetml/2018/threadedcomments" xmlns:x="http://schemas.openxmlformats.org/spreadsheetml/2006/main">
  <person displayName="Andrea Aloscari" id="{2E8B55FB-4288-F34B-9F36-881DE14D3E53}" userId="S::andrea.aloscari@studenti.luiss.it::6a0516cc-cf34-4ce5-a640-a95abfac4476" providerId="AD"/>
  <person displayName="ALOSCARI ANDREA" id="{E22600FA-007A-4181-A57D-23DF4843C112}" userId="S::andrea.aloscari@intesasanpaolo.com::a31e20f2-4e0e-4995-b68d-940ad9cd2be6" providerId="AD"/>
  <person displayName="Anatolie Russu" id="{C9FE12AB-2401-4C58-B008-820585CA3CF9}" userId="S::russu.2013048@studenti.uniroma1.it::fac99fb3-bdeb-4f97-9773-b3ebcc7162ac"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2" dT="2024-07-07T20:02:59.08" personId="{E22600FA-007A-4181-A57D-23DF4843C112}" id="{32D7D37B-2D88-4395-B586-9B03DFE728BD}">
    <text>A-</text>
  </threadedComment>
  <threadedComment ref="C16" dT="2024-07-07T20:07:44.58" personId="{E22600FA-007A-4181-A57D-23DF4843C112}" id="{BCCA02B3-9431-4DF9-A8ED-095458FB1D34}">
    <text xml:space="preserve">Software (System &amp; Application)
</text>
  </threadedComment>
  <threadedComment ref="B20" dT="2024-07-12T08:43:33.22" personId="{E22600FA-007A-4181-A57D-23DF4843C112}" id="{44CA6962-964B-4E80-90C8-C97E71C45EC1}">
    <text xml:space="preserve">Market Cap
</text>
  </threadedComment>
  <threadedComment ref="C20" dT="2024-07-08T20:59:08.58" personId="{2E8B55FB-4288-F34B-9F36-881DE14D3E53}" id="{FEFE1FD9-3E3B-E340-BE79-DC6AEA39C792}">
    <text>93.5B</text>
  </threadedComment>
  <threadedComment ref="F20" dT="2024-07-08T20:58:14.89" personId="{2E8B55FB-4288-F34B-9F36-881DE14D3E53}" id="{406DE232-E70C-3E48-A212-30CFA9B0C503}">
    <text xml:space="preserve">8/07/2024
</text>
  </threadedComment>
  <threadedComment ref="C21" dT="2024-07-08T20:36:53.87" personId="{2E8B55FB-4288-F34B-9F36-881DE14D3E53}" id="{975740BB-7991-4B4D-B97A-51DB42516FEB}">
    <text>Annual Report Long Term Debt</text>
  </threadedComment>
  <threadedComment ref="D21" dT="2024-07-17T11:30:42.83" personId="{C9FE12AB-2401-4C58-B008-820585CA3CF9}" id="{4F562AF1-4C34-4C56-972A-0A1E4AD74A7F}">
    <text>Attenzione alle unità di misura</text>
  </threadedComment>
  <threadedComment ref="F21" dT="2024-07-08T20:55:54.49" personId="{2E8B55FB-4288-F34B-9F36-881DE14D3E53}" id="{57575334-7165-F34C-8523-EF731395442E}">
    <text>Annual Report</text>
  </threadedComment>
  <threadedComment ref="B23" dT="2024-07-12T08:29:01.49" personId="{E22600FA-007A-4181-A57D-23DF4843C112}" id="{BBD97B44-C464-4CBB-8910-A0327B9485F2}">
    <text>E/V</text>
  </threadedComment>
  <threadedComment ref="B24" dT="2024-07-12T08:29:22.67" personId="{E22600FA-007A-4181-A57D-23DF4843C112}" id="{1E9701F1-E0F6-4267-953F-8C211871DF64}">
    <text xml:space="preserve">D/V
</text>
  </threadedComment>
</ThreadedComments>
</file>

<file path=xl/threadedComments/threadedComment2.xml><?xml version="1.0" encoding="utf-8"?>
<ThreadedComments xmlns="http://schemas.microsoft.com/office/spreadsheetml/2018/threadedcomments" xmlns:x="http://schemas.openxmlformats.org/spreadsheetml/2006/main">
  <threadedComment ref="G43" dT="2024-07-15T14:50:31.82" personId="{C9FE12AB-2401-4C58-B008-820585CA3CF9}" id="{28D678E0-D464-4654-91F6-53720744AD00}">
    <text>Copiando le formule da C43 a E43 viene il valore corretto. Per quanto riguarda il check, a Total Assets va sottratto non solo Total Liabilities ma anche "Reedemable Non Controlling Interests" per ottenere il valore corretto di Total StockHolder Equity ed in tal modo si otterrà lo stesso risultato di 6.153.258,00</text>
  </threadedComment>
</ThreadedComments>
</file>

<file path=xl/threadedComments/threadedComment3.xml><?xml version="1.0" encoding="utf-8"?>
<ThreadedComments xmlns="http://schemas.microsoft.com/office/spreadsheetml/2018/threadedcomments" xmlns:x="http://schemas.openxmlformats.org/spreadsheetml/2006/main">
  <threadedComment ref="B19" dT="2024-07-23T13:53:29.30" personId="{2E8B55FB-4288-F34B-9F36-881DE14D3E53}" id="{543B5D68-772B-4430-956C-8339EF04388A}">
    <text xml:space="preserve">SG&amp;A, R&amp;D, S&amp;M
</text>
  </threadedComment>
  <threadedComment ref="B20" dT="2024-07-14T15:45:28.92" personId="{E22600FA-007A-4181-A57D-23DF4843C112}" id="{E34DAC7C-487F-41A3-9789-7C82FEFD5CEC}">
    <text>EBIT oppure no?</text>
  </threadedComment>
  <threadedComment ref="B20" dT="2024-07-15T15:00:27.35" personId="{C9FE12AB-2401-4C58-B008-820585CA3CF9}" id="{6C327281-EFBC-44E4-8D9E-7A805573E8E7}" parentId="{E34DAC7C-487F-41A3-9789-7C82FEFD5CEC}">
    <text>Di base sarebbe EBIT, qui però si andrà ad operare in un altro modo: poco sotto c'è la voce Other income(expenses),net e subito dopo c'è EBT. Questo vuol dire che in OI,n sono compresi sia componenti di reddito non operative che la parte finanziaria tipo interest expenses (questa è una mia deduzione ma controlla la nota integrativa per assicurarti che sia così). Quello che si potrebbe fare e scomporre quel OI,n, isolare Other Income dalla parte sugli interessi, aggiungere Oth.Inc a Operating Inc per ottenere EBIT (comprese altri voci nette di reddito) e sottrarre la parte relativa agli interessi finanziari per ottenere EBT. L'obiettivo di ciò è isolare EBIT perché dalla riclassificazione fatta in bilancio si passa direttamente da operative income a EBT (data l'aggregazione di componenti non operative in senso stretto con quelle finanziarie)</text>
  </threadedComment>
  <threadedComment ref="B22" dT="2024-07-23T13:43:06.02" personId="{2E8B55FB-4288-F34B-9F36-881DE14D3E53}" id="{984288F1-3976-4A2C-87BB-C3EDF494B4C8}">
    <text xml:space="preserve">Pre-tax income
</text>
  </threadedComment>
</ThreadedComments>
</file>

<file path=xl/threadedComments/threadedComment4.xml><?xml version="1.0" encoding="utf-8"?>
<ThreadedComments xmlns="http://schemas.microsoft.com/office/spreadsheetml/2018/threadedcomments" xmlns:x="http://schemas.openxmlformats.org/spreadsheetml/2006/main">
  <threadedComment ref="N11" dT="2024-07-15T15:02:06.94" personId="{C9FE12AB-2401-4C58-B008-820585CA3CF9}" id="{DD4F05CA-6026-4613-9A46-AFDBE11FFFA8}">
    <text>In generale per forecasting fare riferimento a quanto scritto in bilancio per le previsioni del management, sfruttare statistiche passate (coerenti e verosimili) e fare manipolazioni verosimili li dove necessario</text>
  </threadedComment>
  <threadedComment ref="B13" dT="2024-07-19T08:37:45.60" personId="{2E8B55FB-4288-F34B-9F36-881DE14D3E53}" id="{5C486FF3-B530-46C7-9DC4-BA8BAE7A97A0}">
    <text>Fare check denominazione</text>
  </threadedComment>
  <threadedComment ref="G32" dT="2024-07-16T16:28:26.77" personId="{2E8B55FB-4288-F34B-9F36-881DE14D3E53}" id="{6FB05D7F-6FB1-46E4-B79D-CEA343EBFF1B}">
    <text xml:space="preserve">Ho invertito segno senno veniva EBT&gt;EBIT (?)
</text>
  </threadedComment>
  <threadedComment ref="B36" dT="2024-07-23T15:45:57.90" personId="{2E8B55FB-4288-F34B-9F36-881DE14D3E53}" id="{7700A6B4-021C-4ADE-8517-96AA99240A57}">
    <text xml:space="preserve">Adjusted
</text>
  </threadedComment>
  <threadedComment ref="B40" dT="2024-07-13T16:47:53.06" personId="{E22600FA-007A-4181-A57D-23DF4843C112}" id="{E4AA8959-4C49-4F64-8665-E7F49E1071EC}">
    <text>quelle di CF o quelle di IS?</text>
  </threadedComment>
  <threadedComment ref="B40" dT="2024-07-15T15:02:39.74" personId="{C9FE12AB-2401-4C58-B008-820585CA3CF9}" id="{1D3C38A0-249C-48BF-9394-9813A53B596C}" parentId="{E4AA8959-4C49-4F64-8665-E7F49E1071EC}">
    <text>IS</text>
  </threadedComment>
</ThreadedComments>
</file>

<file path=xl/threadedComments/threadedComment5.xml><?xml version="1.0" encoding="utf-8"?>
<ThreadedComments xmlns="http://schemas.microsoft.com/office/spreadsheetml/2018/threadedcomments" xmlns:x="http://schemas.openxmlformats.org/spreadsheetml/2006/main">
  <threadedComment ref="C52" dT="2024-07-15T14:28:22.83" personId="{C9FE12AB-2401-4C58-B008-820585CA3CF9}" id="{88AED6F2-5073-4BC3-AA81-3C4D14DDE30D}">
    <text>Per convenzione 2%. Per le aziende che operano in paesi "sviluppati" deve riflettere l'obiettivo LT d'inflazione, per le imprese operanti in paesi emergenti può anche essere più alto ma va motivato.</text>
  </threadedComment>
  <threadedComment ref="E52" dT="2024-07-15T14:28:47.86" personId="{C9FE12AB-2401-4C58-B008-820585CA3CF9}" id="{C803F3BC-4E1B-47E4-8BAA-8D8BB88B7AD1}">
    <text>convenzione</text>
  </threadedComment>
  <threadedComment ref="E53" dT="2024-07-15T14:28:57.30" personId="{C9FE12AB-2401-4C58-B008-820585CA3CF9}" id="{5507B7B0-C963-4467-9BEB-AB9199E64CA0}">
    <text>convenzione</text>
  </threadedComment>
  <threadedComment ref="F58" dT="2024-07-17T11:28:48.07" personId="{C9FE12AB-2401-4C58-B008-820585CA3CF9}" id="{9CFF8ADE-F463-4E0F-82CB-69061B421BE4}">
    <text>Attenzione alle unità di misura, bisogna correggere quello del numero delle azioni, così risultano esserci 151,98 miliardi di azioni mentre in realtà sono 151,98 milioni</text>
  </threadedComment>
  <threadedComment ref="F58" dT="2024-07-17T11:33:26.18" personId="{C9FE12AB-2401-4C58-B008-820585CA3CF9}" id="{B874C409-0CCC-4279-A9BA-32CF27E1D9E5}" parentId="{9CFF8ADE-F463-4E0F-82CB-69061B421BE4}">
    <text>Già corretto io al volo</text>
  </threadedComment>
</ThreadedComments>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1E77F2B-8557-49C6-A7FF-D4F695FF73A7}">
  <we:reference id="wa200001456" version="2.1.0.0" store="en-US" storeType="OMEX"/>
  <we:alternateReferences>
    <we:reference id="wa200001456" version="2.1.0.0" store="en-US"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FDS</we:customFunctionIds>
        <we:customFunctionIds>FDSN</we:customFunctionIds>
        <we:customFunctionIds>FDSZ</we:customFunctionIds>
        <we:customFunctionIds>FDSB</we:customFunctionIds>
        <we:customFunctionIds>FDSC</we:customFunctionIds>
        <we:customFunctionIds>FDSR</we:customFunctionIds>
        <we:customFunctionIds>FDSRN</we:customFunctionIds>
        <we:customFunctionIds>FDSRZ</we:customFunctionIds>
        <we:customFunctionIds>FDSRB</we:customFunctionIds>
        <we:customFunctionIds>FDSRC</we:customFunctionIds>
        <we:customFunctionIds>FDSLIVE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vesting.com/rates-bonds/u.s.-10-year-bond-yield-historical-data"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pages.stern.nyu.edu/~adamodar/New_Home_Page/datafile/taxrate.html" TargetMode="External"/><Relationship Id="rId7" Type="http://schemas.openxmlformats.org/officeDocument/2006/relationships/vmlDrawing" Target="../drawings/vmlDrawing1.vml"/><Relationship Id="rId2" Type="http://schemas.openxmlformats.org/officeDocument/2006/relationships/hyperlink" Target="https://pages.stern.nyu.edu/~adamodar/New_Home_Page/datafile/ratings.html" TargetMode="External"/><Relationship Id="rId1" Type="http://schemas.openxmlformats.org/officeDocument/2006/relationships/hyperlink" Target="https://finance.yahoo.com/quote/SNPS/?guccounter=1&amp;guce_referrer=aHR0cHM6Ly93d3cuZ29vZ2xlLmNvbS8&amp;guce_referrer_sig=AQAAAGuLr68vgunzhgtE7p22sfJr0-NfMrxFe3pxTqPa6xwHYLUnDofNPZalELFsvqQZTdsXWjhBocu1ryaDUKkUtQYaAj-Dqav2QJhf0iZu128rfpZWnvGS--qqNjrSo-Io2VnO_T94vEb6HGLvodTZrsyS6dFuGoy-MgqhG7NRkFn2" TargetMode="External"/><Relationship Id="rId6" Type="http://schemas.openxmlformats.org/officeDocument/2006/relationships/printerSettings" Target="../printerSettings/printerSettings2.bin"/><Relationship Id="rId5" Type="http://schemas.openxmlformats.org/officeDocument/2006/relationships/hyperlink" Target="https://pages.stern.nyu.edu/~adamodar/New_Home_Page/datafile/ctryprem.html" TargetMode="External"/><Relationship Id="rId4" Type="http://schemas.openxmlformats.org/officeDocument/2006/relationships/hyperlink" Target="https://pages.stern.nyu.edu/~adamodar/New_Home_Page/datafile/ctryprem.html" TargetMode="Externa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statista.com/outlook/tmo/semiconductors/united-states" TargetMode="External"/><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D28BA-7970-42D3-8A02-E0C8923124FF}">
  <dimension ref="A2:Q268"/>
  <sheetViews>
    <sheetView zoomScaleNormal="100" workbookViewId="0">
      <selection activeCell="K2" sqref="K2"/>
    </sheetView>
  </sheetViews>
  <sheetFormatPr baseColWidth="10" defaultColWidth="8.8203125" defaultRowHeight="13" x14ac:dyDescent="0.45"/>
  <cols>
    <col min="1" max="1" width="8.8203125" style="36"/>
    <col min="2" max="2" width="10.46875" style="36" bestFit="1" customWidth="1"/>
    <col min="3" max="6" width="6" style="36" bestFit="1" customWidth="1"/>
    <col min="7" max="7" width="8.64453125" style="36" bestFit="1" customWidth="1"/>
    <col min="8" max="8" width="12" style="36" bestFit="1" customWidth="1"/>
    <col min="9" max="9" width="12.3515625" style="36" bestFit="1" customWidth="1"/>
    <col min="10" max="10" width="10.64453125" style="36" bestFit="1" customWidth="1"/>
    <col min="11" max="11" width="9.8203125" style="36" bestFit="1" customWidth="1"/>
    <col min="12" max="12" width="7.3515625" style="36" bestFit="1" customWidth="1"/>
    <col min="13" max="13" width="9.8203125" style="36" bestFit="1" customWidth="1"/>
    <col min="14" max="14" width="7.3515625" style="36" bestFit="1" customWidth="1"/>
    <col min="15" max="15" width="9.46875" style="36" bestFit="1" customWidth="1"/>
    <col min="16" max="16" width="23.64453125" style="36" bestFit="1" customWidth="1"/>
    <col min="17" max="17" width="12.46875" style="36" bestFit="1" customWidth="1"/>
    <col min="18" max="16384" width="8.8203125" style="36"/>
  </cols>
  <sheetData>
    <row r="2" spans="1:17" ht="15.7" x14ac:dyDescent="0.55000000000000004">
      <c r="B2" s="194" t="s">
        <v>0</v>
      </c>
      <c r="C2" s="37"/>
      <c r="D2" s="37"/>
      <c r="E2" s="37"/>
      <c r="F2" s="37"/>
      <c r="G2" s="37"/>
      <c r="K2" s="194" t="s">
        <v>1</v>
      </c>
      <c r="L2" s="37"/>
      <c r="M2" s="194" t="s">
        <v>2</v>
      </c>
      <c r="N2" s="54"/>
    </row>
    <row r="3" spans="1:17" x14ac:dyDescent="0.45">
      <c r="A3" s="61"/>
      <c r="B3" s="59" t="s">
        <v>3</v>
      </c>
      <c r="C3" s="59" t="s">
        <v>4</v>
      </c>
      <c r="D3" s="59" t="s">
        <v>5</v>
      </c>
      <c r="E3" s="59" t="s">
        <v>6</v>
      </c>
      <c r="F3" s="59" t="s">
        <v>7</v>
      </c>
      <c r="G3" s="59" t="s">
        <v>8</v>
      </c>
      <c r="H3" s="61"/>
      <c r="I3" s="61"/>
      <c r="J3" s="61"/>
      <c r="K3" s="59" t="s">
        <v>3</v>
      </c>
      <c r="L3" s="59" t="s">
        <v>9</v>
      </c>
      <c r="M3" s="59" t="s">
        <v>10</v>
      </c>
      <c r="N3" s="59" t="s">
        <v>9</v>
      </c>
      <c r="P3" s="36" t="s">
        <v>11</v>
      </c>
      <c r="Q3" s="36">
        <f>_xlfn.COVARIANCE.P(L4:L268,N4:N268)</f>
        <v>1.1356431310786759E-3</v>
      </c>
    </row>
    <row r="4" spans="1:17" x14ac:dyDescent="0.45">
      <c r="B4" s="56" t="s">
        <v>12</v>
      </c>
      <c r="C4" s="57">
        <v>4.2779999999999996</v>
      </c>
      <c r="D4" s="36">
        <v>4.4089999999999998</v>
      </c>
      <c r="E4" s="36">
        <v>4.4969999999999999</v>
      </c>
      <c r="F4" s="36">
        <v>4.266</v>
      </c>
      <c r="G4" s="52">
        <v>-2.5899999999999999E-2</v>
      </c>
      <c r="K4" s="56" t="s">
        <v>13</v>
      </c>
      <c r="L4" s="52">
        <v>4.3700000000000003E-2</v>
      </c>
      <c r="M4" s="36" t="s">
        <v>13</v>
      </c>
      <c r="N4" s="52">
        <v>3.5999999999999997E-2</v>
      </c>
      <c r="P4" s="36" t="s">
        <v>14</v>
      </c>
      <c r="Q4" s="36">
        <f>_xlfn.VAR.P(N4:N268)</f>
        <v>9.6933513221787097E-4</v>
      </c>
    </row>
    <row r="5" spans="1:17" x14ac:dyDescent="0.45">
      <c r="B5" s="56" t="s">
        <v>15</v>
      </c>
      <c r="C5" s="36">
        <v>4.3920000000000003</v>
      </c>
      <c r="D5" s="36">
        <v>4.2610000000000001</v>
      </c>
      <c r="E5" s="36">
        <v>4.4059999999999997</v>
      </c>
      <c r="F5" s="36">
        <v>4.2080000000000002</v>
      </c>
      <c r="G5" s="52">
        <v>3.1600000000000003E-2</v>
      </c>
      <c r="K5" s="56" t="s">
        <v>16</v>
      </c>
      <c r="L5" s="52">
        <v>-1.6899999999999998E-2</v>
      </c>
      <c r="M5" s="36" t="s">
        <v>16</v>
      </c>
      <c r="N5" s="52">
        <v>-8.9999999999999998E-4</v>
      </c>
    </row>
    <row r="6" spans="1:17" x14ac:dyDescent="0.45">
      <c r="B6" s="56" t="s">
        <v>17</v>
      </c>
      <c r="C6" s="36">
        <v>4.2569999999999997</v>
      </c>
      <c r="D6" s="36">
        <v>4.2380000000000004</v>
      </c>
      <c r="E6" s="36">
        <v>4.3019999999999996</v>
      </c>
      <c r="F6" s="36">
        <v>4.2069999999999999</v>
      </c>
      <c r="G6" s="52">
        <v>8.6E-3</v>
      </c>
      <c r="K6" s="56" t="s">
        <v>18</v>
      </c>
      <c r="L6" s="52">
        <v>2.5999999999999999E-2</v>
      </c>
      <c r="M6" s="36" t="s">
        <v>18</v>
      </c>
      <c r="N6" s="52">
        <v>2.0999999999999999E-3</v>
      </c>
      <c r="P6" s="47" t="s">
        <v>19</v>
      </c>
      <c r="Q6" s="36">
        <f>Q3/Q4</f>
        <v>1.1715691439763323</v>
      </c>
    </row>
    <row r="7" spans="1:17" x14ac:dyDescent="0.45">
      <c r="B7" s="58">
        <v>45541</v>
      </c>
      <c r="C7" s="36">
        <v>4.2210000000000001</v>
      </c>
      <c r="D7" s="36">
        <v>4.4530000000000003</v>
      </c>
      <c r="E7" s="36">
        <v>4.4790000000000001</v>
      </c>
      <c r="F7" s="36">
        <v>4.1879999999999997</v>
      </c>
      <c r="G7" s="52">
        <v>-4.8000000000000001E-2</v>
      </c>
      <c r="K7" s="56" t="s">
        <v>20</v>
      </c>
      <c r="L7" s="52">
        <v>3.2800000000000003E-2</v>
      </c>
      <c r="M7" s="36" t="s">
        <v>20</v>
      </c>
      <c r="N7" s="52">
        <v>3.4700000000000002E-2</v>
      </c>
      <c r="Q7" s="36">
        <f>INDEX(LINEST(L4:L268,N4:N268,TRUE,TRUE),1,1)</f>
        <v>1.1715691439763321</v>
      </c>
    </row>
    <row r="8" spans="1:17" x14ac:dyDescent="0.45">
      <c r="B8" s="58">
        <v>45328</v>
      </c>
      <c r="C8" s="36">
        <v>4.4329999999999998</v>
      </c>
      <c r="D8" s="36">
        <v>4.4930000000000003</v>
      </c>
      <c r="E8" s="36">
        <v>4.5010000000000003</v>
      </c>
      <c r="F8" s="36">
        <v>4.2750000000000004</v>
      </c>
      <c r="G8" s="52">
        <v>-1.5299999999999999E-2</v>
      </c>
      <c r="K8" s="56" t="s">
        <v>21</v>
      </c>
      <c r="L8" s="52">
        <v>1.9E-2</v>
      </c>
      <c r="M8" s="36" t="s">
        <v>21</v>
      </c>
      <c r="N8" s="52">
        <v>2.5000000000000001E-2</v>
      </c>
    </row>
    <row r="9" spans="1:17" x14ac:dyDescent="0.45">
      <c r="B9" s="56" t="s">
        <v>22</v>
      </c>
      <c r="C9" s="36">
        <v>4.5030000000000001</v>
      </c>
      <c r="D9" s="36">
        <v>4.4589999999999996</v>
      </c>
      <c r="E9" s="36">
        <v>4.6379999999999999</v>
      </c>
      <c r="F9" s="36">
        <v>4.4450000000000003</v>
      </c>
      <c r="G9" s="52">
        <v>8.0000000000000002E-3</v>
      </c>
      <c r="K9" s="56" t="s">
        <v>23</v>
      </c>
      <c r="L9" s="52">
        <v>-4.53E-2</v>
      </c>
      <c r="M9" s="36" t="s">
        <v>23</v>
      </c>
      <c r="N9" s="52">
        <v>-1.44E-2</v>
      </c>
    </row>
    <row r="10" spans="1:17" x14ac:dyDescent="0.45">
      <c r="B10" s="56" t="s">
        <v>24</v>
      </c>
      <c r="C10" s="36">
        <v>4.4669999999999996</v>
      </c>
      <c r="D10" s="36">
        <v>4.4139999999999997</v>
      </c>
      <c r="E10" s="36">
        <v>4.5019999999999998</v>
      </c>
      <c r="F10" s="36">
        <v>4.3979999999999997</v>
      </c>
      <c r="G10" s="52">
        <v>1.0200000000000001E-2</v>
      </c>
      <c r="K10" s="56" t="s">
        <v>25</v>
      </c>
      <c r="L10" s="52">
        <v>3.6499999999999998E-2</v>
      </c>
      <c r="M10" s="36" t="s">
        <v>25</v>
      </c>
      <c r="N10" s="52">
        <v>1.41E-2</v>
      </c>
    </row>
    <row r="11" spans="1:17" x14ac:dyDescent="0.45">
      <c r="B11" s="58">
        <v>45631</v>
      </c>
      <c r="C11" s="36">
        <v>4.4219999999999997</v>
      </c>
      <c r="D11" s="36">
        <v>4.49</v>
      </c>
      <c r="E11" s="36">
        <v>4.5339999999999998</v>
      </c>
      <c r="F11" s="36">
        <v>4.3129999999999997</v>
      </c>
      <c r="G11" s="52">
        <v>-1.7399999999999999E-2</v>
      </c>
      <c r="K11" s="56" t="s">
        <v>26</v>
      </c>
      <c r="L11" s="52">
        <v>1.7999999999999999E-2</v>
      </c>
      <c r="M11" s="36" t="s">
        <v>26</v>
      </c>
      <c r="N11" s="52">
        <v>2.12E-2</v>
      </c>
    </row>
    <row r="12" spans="1:17" x14ac:dyDescent="0.45">
      <c r="B12" s="58">
        <v>45417</v>
      </c>
      <c r="C12" s="36">
        <v>4.5</v>
      </c>
      <c r="D12" s="36">
        <v>4.4829999999999997</v>
      </c>
      <c r="E12" s="36">
        <v>4.5199999999999996</v>
      </c>
      <c r="F12" s="36">
        <v>4.42</v>
      </c>
      <c r="G12" s="52">
        <v>5.9999999999999995E-4</v>
      </c>
      <c r="K12" s="56" t="s">
        <v>27</v>
      </c>
      <c r="L12" s="52">
        <v>3.6799999999999999E-2</v>
      </c>
      <c r="M12" s="36" t="s">
        <v>27</v>
      </c>
      <c r="N12" s="52">
        <v>1.5100000000000001E-2</v>
      </c>
    </row>
    <row r="13" spans="1:17" x14ac:dyDescent="0.45">
      <c r="B13" s="56" t="s">
        <v>28</v>
      </c>
      <c r="C13" s="36">
        <v>4.4969999999999999</v>
      </c>
      <c r="D13" s="36">
        <v>4.6550000000000002</v>
      </c>
      <c r="E13" s="36">
        <v>4.694</v>
      </c>
      <c r="F13" s="36">
        <v>4.4530000000000003</v>
      </c>
      <c r="G13" s="52">
        <v>-3.5499999999999997E-2</v>
      </c>
      <c r="K13" s="56" t="s">
        <v>29</v>
      </c>
      <c r="L13" s="52">
        <v>-1.24E-2</v>
      </c>
      <c r="M13" s="36" t="s">
        <v>29</v>
      </c>
      <c r="N13" s="52">
        <v>9.7000000000000003E-3</v>
      </c>
    </row>
    <row r="14" spans="1:17" x14ac:dyDescent="0.45">
      <c r="B14" s="56" t="s">
        <v>30</v>
      </c>
      <c r="C14" s="36">
        <v>4.6630000000000003</v>
      </c>
      <c r="D14" s="36">
        <v>4.6310000000000002</v>
      </c>
      <c r="E14" s="36">
        <v>4.7389999999999999</v>
      </c>
      <c r="F14" s="36">
        <v>4.5679999999999996</v>
      </c>
      <c r="G14" s="52">
        <v>8.6999999999999994E-3</v>
      </c>
      <c r="K14" s="56" t="s">
        <v>31</v>
      </c>
      <c r="L14" s="52">
        <v>6.4500000000000002E-2</v>
      </c>
      <c r="M14" s="36" t="s">
        <v>31</v>
      </c>
      <c r="N14" s="52">
        <v>3.9899999999999998E-2</v>
      </c>
    </row>
    <row r="15" spans="1:17" x14ac:dyDescent="0.45">
      <c r="B15" s="56" t="s">
        <v>32</v>
      </c>
      <c r="C15" s="36">
        <v>4.6230000000000002</v>
      </c>
      <c r="D15" s="36">
        <v>4.5339999999999998</v>
      </c>
      <c r="E15" s="36">
        <v>4.6959999999999997</v>
      </c>
      <c r="F15" s="36">
        <v>4.4960000000000004</v>
      </c>
      <c r="G15" s="52">
        <v>2.3300000000000001E-2</v>
      </c>
      <c r="K15" s="56" t="s">
        <v>33</v>
      </c>
      <c r="L15" s="52">
        <v>-8.3400000000000002E-2</v>
      </c>
      <c r="M15" s="36" t="s">
        <v>33</v>
      </c>
      <c r="N15" s="52">
        <v>-5.3600000000000002E-2</v>
      </c>
    </row>
    <row r="16" spans="1:17" x14ac:dyDescent="0.45">
      <c r="B16" s="58">
        <v>45477</v>
      </c>
      <c r="C16" s="36">
        <v>4.5170000000000003</v>
      </c>
      <c r="D16" s="36">
        <v>4.4139999999999997</v>
      </c>
      <c r="E16" s="36">
        <v>4.593</v>
      </c>
      <c r="F16" s="36">
        <v>4.3419999999999996</v>
      </c>
      <c r="G16" s="52">
        <v>2.6800000000000001E-2</v>
      </c>
      <c r="K16" s="56" t="s">
        <v>34</v>
      </c>
      <c r="L16" s="52">
        <v>-3.1800000000000002E-2</v>
      </c>
      <c r="M16" s="36" t="s">
        <v>34</v>
      </c>
      <c r="N16" s="52">
        <v>-5.7999999999999996E-3</v>
      </c>
    </row>
    <row r="17" spans="2:14" x14ac:dyDescent="0.45">
      <c r="B17" s="56" t="s">
        <v>35</v>
      </c>
      <c r="C17" s="36">
        <v>4.4000000000000004</v>
      </c>
      <c r="D17" s="36">
        <v>4.1900000000000004</v>
      </c>
      <c r="E17" s="36">
        <v>4.4290000000000003</v>
      </c>
      <c r="F17" s="36">
        <v>4.1879999999999997</v>
      </c>
      <c r="G17" s="52">
        <v>4.5999999999999999E-2</v>
      </c>
      <c r="K17" s="56" t="s">
        <v>36</v>
      </c>
      <c r="L17" s="52">
        <v>6.8999999999999999E-3</v>
      </c>
      <c r="M17" s="36" t="s">
        <v>36</v>
      </c>
      <c r="N17" s="52">
        <v>-8.0000000000000002E-3</v>
      </c>
    </row>
    <row r="18" spans="2:14" x14ac:dyDescent="0.45">
      <c r="B18" s="56" t="s">
        <v>37</v>
      </c>
      <c r="C18" s="36">
        <v>4.2060000000000004</v>
      </c>
      <c r="D18" s="36">
        <v>4.1980000000000004</v>
      </c>
      <c r="E18" s="36">
        <v>4.2729999999999997</v>
      </c>
      <c r="F18" s="36">
        <v>4.1820000000000004</v>
      </c>
      <c r="G18" s="52">
        <v>1E-3</v>
      </c>
      <c r="K18" s="56" t="s">
        <v>38</v>
      </c>
      <c r="L18" s="52">
        <v>-3.8199999999999998E-2</v>
      </c>
      <c r="M18" s="36" t="s">
        <v>38</v>
      </c>
      <c r="N18" s="52">
        <v>-4.5999999999999999E-3</v>
      </c>
    </row>
    <row r="19" spans="2:14" x14ac:dyDescent="0.45">
      <c r="B19" s="56" t="s">
        <v>39</v>
      </c>
      <c r="C19" s="36">
        <v>4.202</v>
      </c>
      <c r="D19" s="36">
        <v>4.3079999999999998</v>
      </c>
      <c r="E19" s="36">
        <v>4.3479999999999999</v>
      </c>
      <c r="F19" s="36">
        <v>4.1980000000000004</v>
      </c>
      <c r="G19" s="52">
        <v>-2.47E-2</v>
      </c>
      <c r="K19" s="56" t="s">
        <v>40</v>
      </c>
      <c r="L19" s="52">
        <v>8.0299999999999996E-2</v>
      </c>
      <c r="M19" s="36" t="s">
        <v>40</v>
      </c>
      <c r="N19" s="52">
        <v>2.98E-2</v>
      </c>
    </row>
    <row r="20" spans="2:14" x14ac:dyDescent="0.45">
      <c r="B20" s="58">
        <v>45568</v>
      </c>
      <c r="C20" s="36">
        <v>4.3079999999999998</v>
      </c>
      <c r="D20" s="36">
        <v>4.0830000000000002</v>
      </c>
      <c r="E20" s="36">
        <v>4.3220000000000001</v>
      </c>
      <c r="F20" s="36">
        <v>4.0519999999999996</v>
      </c>
      <c r="G20" s="52">
        <v>5.6800000000000003E-2</v>
      </c>
      <c r="K20" s="56" t="s">
        <v>41</v>
      </c>
      <c r="L20" s="52">
        <v>-3.7199999999999997E-2</v>
      </c>
      <c r="M20" s="36" t="s">
        <v>41</v>
      </c>
      <c r="N20" s="52">
        <v>-1.17E-2</v>
      </c>
    </row>
    <row r="21" spans="2:14" x14ac:dyDescent="0.45">
      <c r="B21" s="58">
        <v>45354</v>
      </c>
      <c r="C21" s="36">
        <v>4.077</v>
      </c>
      <c r="D21" s="36">
        <v>4.1929999999999996</v>
      </c>
      <c r="E21" s="36">
        <v>4.2350000000000003</v>
      </c>
      <c r="F21" s="36">
        <v>4.0380000000000003</v>
      </c>
      <c r="G21" s="52">
        <v>-2.5999999999999999E-2</v>
      </c>
      <c r="K21" s="56" t="s">
        <v>42</v>
      </c>
      <c r="L21" s="52">
        <v>-3.39E-2</v>
      </c>
      <c r="M21" s="36" t="s">
        <v>42</v>
      </c>
      <c r="N21" s="52">
        <v>-1.55E-2</v>
      </c>
    </row>
    <row r="22" spans="2:14" x14ac:dyDescent="0.45">
      <c r="B22" s="56" t="s">
        <v>43</v>
      </c>
      <c r="C22" s="36">
        <v>4.1859999999999999</v>
      </c>
      <c r="D22" s="36">
        <v>4.258</v>
      </c>
      <c r="E22" s="36">
        <v>4.3209999999999997</v>
      </c>
      <c r="F22" s="36">
        <v>4.1779999999999999</v>
      </c>
      <c r="G22" s="52">
        <v>-1.47E-2</v>
      </c>
      <c r="K22" s="56" t="s">
        <v>44</v>
      </c>
      <c r="L22" s="52">
        <v>2.7300000000000001E-2</v>
      </c>
      <c r="M22" s="36" t="s">
        <v>44</v>
      </c>
      <c r="N22" s="52">
        <v>2.0400000000000001E-2</v>
      </c>
    </row>
    <row r="23" spans="2:14" x14ac:dyDescent="0.45">
      <c r="B23" s="56" t="s">
        <v>45</v>
      </c>
      <c r="C23" s="36">
        <v>4.2480000000000002</v>
      </c>
      <c r="D23" s="36">
        <v>4.3170000000000002</v>
      </c>
      <c r="E23" s="36">
        <v>4.3540000000000001</v>
      </c>
      <c r="F23" s="36">
        <v>4.2439999999999998</v>
      </c>
      <c r="G23" s="52">
        <v>-7.7000000000000002E-3</v>
      </c>
      <c r="K23" s="56" t="s">
        <v>46</v>
      </c>
      <c r="L23" s="52">
        <v>4.1099999999999998E-2</v>
      </c>
      <c r="M23" s="36" t="s">
        <v>46</v>
      </c>
      <c r="N23" s="52">
        <v>1.4200000000000001E-2</v>
      </c>
    </row>
    <row r="24" spans="2:14" x14ac:dyDescent="0.45">
      <c r="B24" s="58">
        <v>45598</v>
      </c>
      <c r="C24" s="36">
        <v>4.2809999999999997</v>
      </c>
      <c r="D24" s="36">
        <v>4.1829999999999998</v>
      </c>
      <c r="E24" s="36">
        <v>4.3319999999999999</v>
      </c>
      <c r="F24" s="36">
        <v>4.1459999999999999</v>
      </c>
      <c r="G24" s="52">
        <v>2.4799999999999999E-2</v>
      </c>
      <c r="K24" s="56" t="s">
        <v>47</v>
      </c>
      <c r="L24" s="52">
        <v>-3.8899999999999997E-2</v>
      </c>
      <c r="M24" s="36" t="s">
        <v>47</v>
      </c>
      <c r="N24" s="52">
        <v>-1.54E-2</v>
      </c>
    </row>
    <row r="25" spans="2:14" x14ac:dyDescent="0.45">
      <c r="B25" s="58">
        <v>45384</v>
      </c>
      <c r="C25" s="36">
        <v>4.1769999999999996</v>
      </c>
      <c r="D25" s="36">
        <v>4.0540000000000003</v>
      </c>
      <c r="E25" s="36">
        <v>4.1950000000000003</v>
      </c>
      <c r="F25" s="36">
        <v>4.0490000000000004</v>
      </c>
      <c r="G25" s="52">
        <v>3.8199999999999998E-2</v>
      </c>
      <c r="K25" s="56" t="s">
        <v>48</v>
      </c>
      <c r="L25" s="52">
        <v>4.2099999999999999E-2</v>
      </c>
      <c r="M25" s="36" t="s">
        <v>48</v>
      </c>
      <c r="N25" s="52">
        <v>1.8100000000000002E-2</v>
      </c>
    </row>
    <row r="26" spans="2:14" x14ac:dyDescent="0.45">
      <c r="B26" s="56" t="s">
        <v>49</v>
      </c>
      <c r="C26" s="36">
        <v>4.024</v>
      </c>
      <c r="D26" s="36">
        <v>4.1390000000000002</v>
      </c>
      <c r="E26" s="36">
        <v>4.1449999999999996</v>
      </c>
      <c r="F26" s="36">
        <v>3.8159999999999998</v>
      </c>
      <c r="G26" s="52">
        <v>-2.7900000000000001E-2</v>
      </c>
      <c r="K26" s="56" t="s">
        <v>50</v>
      </c>
      <c r="L26" s="52">
        <v>4.53E-2</v>
      </c>
      <c r="M26" s="36" t="s">
        <v>50</v>
      </c>
      <c r="N26" s="52">
        <v>1.2699999999999999E-2</v>
      </c>
    </row>
    <row r="27" spans="2:14" x14ac:dyDescent="0.45">
      <c r="B27" s="56" t="s">
        <v>51</v>
      </c>
      <c r="C27" s="36">
        <v>4.1390000000000002</v>
      </c>
      <c r="D27" s="36">
        <v>4.1360000000000001</v>
      </c>
      <c r="E27" s="36">
        <v>4.1950000000000003</v>
      </c>
      <c r="F27" s="36">
        <v>4.0750000000000002</v>
      </c>
      <c r="G27" s="52">
        <v>2.2000000000000001E-3</v>
      </c>
      <c r="K27" s="56" t="s">
        <v>52</v>
      </c>
      <c r="L27" s="52">
        <v>2.0899999999999998E-2</v>
      </c>
      <c r="M27" s="36" t="s">
        <v>52</v>
      </c>
      <c r="N27" s="52">
        <v>6.1999999999999998E-3</v>
      </c>
    </row>
    <row r="28" spans="2:14" x14ac:dyDescent="0.45">
      <c r="B28" s="56" t="s">
        <v>53</v>
      </c>
      <c r="C28" s="36">
        <v>4.13</v>
      </c>
      <c r="D28" s="36">
        <v>3.9860000000000002</v>
      </c>
      <c r="E28" s="36">
        <v>4.1980000000000004</v>
      </c>
      <c r="F28" s="36">
        <v>3.9769999999999999</v>
      </c>
      <c r="G28" s="52">
        <v>4.8500000000000001E-2</v>
      </c>
      <c r="K28" s="56" t="s">
        <v>54</v>
      </c>
      <c r="L28" s="52">
        <v>4.6300000000000001E-2</v>
      </c>
      <c r="M28" s="36" t="s">
        <v>54</v>
      </c>
      <c r="N28" s="52">
        <v>2.86E-2</v>
      </c>
    </row>
    <row r="29" spans="2:14" x14ac:dyDescent="0.45">
      <c r="B29" s="58">
        <v>45474</v>
      </c>
      <c r="C29" s="36">
        <v>3.9390000000000001</v>
      </c>
      <c r="D29" s="36">
        <v>4.0609999999999999</v>
      </c>
      <c r="E29" s="36">
        <v>4.0679999999999996</v>
      </c>
      <c r="F29" s="36">
        <v>3.9159999999999999</v>
      </c>
      <c r="G29" s="52">
        <v>-2.7699999999999999E-2</v>
      </c>
      <c r="K29" s="56" t="s">
        <v>55</v>
      </c>
      <c r="L29" s="52">
        <v>1.9800000000000002E-2</v>
      </c>
      <c r="M29" s="36" t="s">
        <v>55</v>
      </c>
      <c r="N29" s="52">
        <v>3.2300000000000002E-2</v>
      </c>
    </row>
    <row r="30" spans="2:14" x14ac:dyDescent="0.45">
      <c r="B30" s="56" t="s">
        <v>56</v>
      </c>
      <c r="C30" s="36">
        <v>4.0510000000000002</v>
      </c>
      <c r="D30" s="36">
        <v>3.899</v>
      </c>
      <c r="E30" s="36">
        <v>4.1029999999999998</v>
      </c>
      <c r="F30" s="36">
        <v>3.8809999999999998</v>
      </c>
      <c r="G30" s="52">
        <v>4.8000000000000001E-2</v>
      </c>
      <c r="K30" s="56" t="s">
        <v>57</v>
      </c>
      <c r="L30" s="52">
        <v>-5.8500000000000003E-2</v>
      </c>
      <c r="M30" s="36" t="s">
        <v>57</v>
      </c>
      <c r="N30" s="52">
        <v>-3.09E-2</v>
      </c>
    </row>
    <row r="31" spans="2:14" x14ac:dyDescent="0.45">
      <c r="B31" s="56" t="s">
        <v>58</v>
      </c>
      <c r="C31" s="36">
        <v>3.8660000000000001</v>
      </c>
      <c r="D31" s="36">
        <v>3.9009999999999998</v>
      </c>
      <c r="E31" s="36">
        <v>3.91</v>
      </c>
      <c r="F31" s="36">
        <v>3.7829999999999999</v>
      </c>
      <c r="G31" s="52">
        <v>-8.8999999999999999E-3</v>
      </c>
      <c r="K31" s="56" t="s">
        <v>59</v>
      </c>
      <c r="L31" s="52">
        <v>-1.8200000000000001E-2</v>
      </c>
      <c r="M31" s="36" t="s">
        <v>59</v>
      </c>
      <c r="N31" s="52">
        <v>2.8999999999999998E-3</v>
      </c>
    </row>
    <row r="32" spans="2:14" x14ac:dyDescent="0.45">
      <c r="B32" s="56" t="s">
        <v>60</v>
      </c>
      <c r="C32" s="36">
        <v>3.9009999999999998</v>
      </c>
      <c r="D32" s="36">
        <v>3.931</v>
      </c>
      <c r="E32" s="36">
        <v>3.9710000000000001</v>
      </c>
      <c r="F32" s="36">
        <v>3.8290000000000002</v>
      </c>
      <c r="G32" s="52">
        <v>-3.5999999999999999E-3</v>
      </c>
      <c r="K32" s="56" t="s">
        <v>61</v>
      </c>
      <c r="L32" s="52">
        <v>-5.7200000000000001E-2</v>
      </c>
      <c r="M32" s="36" t="s">
        <v>61</v>
      </c>
      <c r="N32" s="52">
        <v>9.2999999999999992E-3</v>
      </c>
    </row>
    <row r="33" spans="2:14" x14ac:dyDescent="0.45">
      <c r="B33" s="58">
        <v>45211</v>
      </c>
      <c r="C33" s="36">
        <v>3.915</v>
      </c>
      <c r="D33" s="36">
        <v>4.2409999999999997</v>
      </c>
      <c r="E33" s="36">
        <v>4.2949999999999999</v>
      </c>
      <c r="F33" s="36">
        <v>3.8849999999999998</v>
      </c>
      <c r="G33" s="52">
        <v>-7.4399999999999994E-2</v>
      </c>
      <c r="K33" s="56" t="s">
        <v>62</v>
      </c>
      <c r="L33" s="52">
        <v>3.7999999999999999E-2</v>
      </c>
      <c r="M33" s="36" t="s">
        <v>62</v>
      </c>
      <c r="N33" s="52">
        <v>3.3500000000000002E-2</v>
      </c>
    </row>
    <row r="34" spans="2:14" x14ac:dyDescent="0.45">
      <c r="B34" s="58">
        <v>44997</v>
      </c>
      <c r="C34" s="36">
        <v>4.2290000000000001</v>
      </c>
      <c r="D34" s="36">
        <v>4.22</v>
      </c>
      <c r="E34" s="36">
        <v>4.2990000000000004</v>
      </c>
      <c r="F34" s="36">
        <v>4.1040000000000001</v>
      </c>
      <c r="G34" s="52">
        <v>4.8999999999999998E-3</v>
      </c>
      <c r="K34" s="56" t="s">
        <v>63</v>
      </c>
      <c r="L34" s="52">
        <v>-1.84E-2</v>
      </c>
      <c r="M34" s="36" t="s">
        <v>63</v>
      </c>
      <c r="N34" s="52">
        <v>5.4000000000000003E-3</v>
      </c>
    </row>
    <row r="35" spans="2:14" x14ac:dyDescent="0.45">
      <c r="B35" s="56" t="s">
        <v>64</v>
      </c>
      <c r="C35" s="36">
        <v>4.2089999999999996</v>
      </c>
      <c r="D35" s="36">
        <v>4.492</v>
      </c>
      <c r="E35" s="36">
        <v>4.5140000000000002</v>
      </c>
      <c r="F35" s="36">
        <v>4.1980000000000004</v>
      </c>
      <c r="G35" s="52">
        <v>-5.8900000000000001E-2</v>
      </c>
      <c r="K35" s="56" t="s">
        <v>65</v>
      </c>
      <c r="L35" s="52">
        <v>6.0000000000000001E-3</v>
      </c>
      <c r="M35" s="36" t="s">
        <v>65</v>
      </c>
      <c r="N35" s="52">
        <v>1E-3</v>
      </c>
    </row>
    <row r="36" spans="2:14" x14ac:dyDescent="0.45">
      <c r="B36" s="56" t="s">
        <v>66</v>
      </c>
      <c r="C36" s="36">
        <v>4.4720000000000004</v>
      </c>
      <c r="D36" s="36">
        <v>4.4610000000000003</v>
      </c>
      <c r="E36" s="36">
        <v>4.4939999999999998</v>
      </c>
      <c r="F36" s="36">
        <v>4.3630000000000004</v>
      </c>
      <c r="G36" s="52">
        <v>7.4999999999999997E-3</v>
      </c>
      <c r="K36" s="56" t="s">
        <v>67</v>
      </c>
      <c r="L36" s="52">
        <v>1.4800000000000001E-2</v>
      </c>
      <c r="M36" s="36" t="s">
        <v>67</v>
      </c>
      <c r="N36" s="52">
        <v>9.1000000000000004E-3</v>
      </c>
    </row>
    <row r="37" spans="2:14" x14ac:dyDescent="0.45">
      <c r="B37" s="58">
        <v>45271</v>
      </c>
      <c r="C37" s="36">
        <v>4.4390000000000001</v>
      </c>
      <c r="D37" s="36">
        <v>4.6539999999999999</v>
      </c>
      <c r="E37" s="36">
        <v>4.6959999999999997</v>
      </c>
      <c r="F37" s="36">
        <v>4.3789999999999996</v>
      </c>
      <c r="G37" s="52">
        <v>-4.4499999999999998E-2</v>
      </c>
      <c r="K37" s="56" t="s">
        <v>68</v>
      </c>
      <c r="L37" s="52">
        <v>3.0700000000000002E-2</v>
      </c>
      <c r="M37" s="36" t="s">
        <v>68</v>
      </c>
      <c r="N37" s="52">
        <v>1.9900000000000001E-2</v>
      </c>
    </row>
    <row r="38" spans="2:14" x14ac:dyDescent="0.45">
      <c r="B38" s="58">
        <v>45057</v>
      </c>
      <c r="C38" s="36">
        <v>4.6459999999999999</v>
      </c>
      <c r="D38" s="36">
        <v>4.5890000000000004</v>
      </c>
      <c r="E38" s="36">
        <v>4.6680000000000001</v>
      </c>
      <c r="F38" s="36">
        <v>4.4729999999999999</v>
      </c>
      <c r="G38" s="52">
        <v>1.52E-2</v>
      </c>
      <c r="K38" s="56" t="s">
        <v>69</v>
      </c>
      <c r="L38" s="52">
        <v>6.3299999999999995E-2</v>
      </c>
      <c r="M38" s="36" t="s">
        <v>69</v>
      </c>
      <c r="N38" s="52">
        <v>2.8500000000000001E-2</v>
      </c>
    </row>
    <row r="39" spans="2:14" x14ac:dyDescent="0.45">
      <c r="B39" s="56" t="s">
        <v>70</v>
      </c>
      <c r="C39" s="36">
        <v>4.5759999999999996</v>
      </c>
      <c r="D39" s="36">
        <v>4.8769999999999998</v>
      </c>
      <c r="E39" s="36">
        <v>4.9349999999999996</v>
      </c>
      <c r="F39" s="36">
        <v>4.484</v>
      </c>
      <c r="G39" s="52">
        <v>-5.5500000000000001E-2</v>
      </c>
      <c r="K39" s="56" t="s">
        <v>71</v>
      </c>
      <c r="L39" s="52">
        <v>6.7699999999999996E-2</v>
      </c>
      <c r="M39" s="36" t="s">
        <v>71</v>
      </c>
      <c r="N39" s="52">
        <v>6.4799999999999996E-2</v>
      </c>
    </row>
    <row r="40" spans="2:14" x14ac:dyDescent="0.45">
      <c r="B40" s="56" t="s">
        <v>72</v>
      </c>
      <c r="C40" s="36">
        <v>4.8449999999999998</v>
      </c>
      <c r="D40" s="36">
        <v>4.9580000000000002</v>
      </c>
      <c r="E40" s="36">
        <v>5.0209999999999999</v>
      </c>
      <c r="F40" s="36">
        <v>4.8</v>
      </c>
      <c r="G40" s="52">
        <v>-1.3899999999999999E-2</v>
      </c>
      <c r="K40" s="56" t="s">
        <v>73</v>
      </c>
      <c r="L40" s="52">
        <v>-2.2800000000000001E-2</v>
      </c>
      <c r="M40" s="36" t="s">
        <v>73</v>
      </c>
      <c r="N40" s="52">
        <v>-2.6100000000000002E-2</v>
      </c>
    </row>
    <row r="41" spans="2:14" x14ac:dyDescent="0.45">
      <c r="B41" s="56" t="s">
        <v>74</v>
      </c>
      <c r="C41" s="36">
        <v>4.9139999999999997</v>
      </c>
      <c r="D41" s="36">
        <v>4.6479999999999997</v>
      </c>
      <c r="E41" s="36">
        <v>4.9960000000000004</v>
      </c>
      <c r="F41" s="36">
        <v>4.6429999999999998</v>
      </c>
      <c r="G41" s="52">
        <v>6.4399999999999999E-2</v>
      </c>
      <c r="K41" s="56" t="s">
        <v>75</v>
      </c>
      <c r="L41" s="52">
        <v>-4.4999999999999998E-2</v>
      </c>
      <c r="M41" s="36" t="s">
        <v>75</v>
      </c>
      <c r="N41" s="52">
        <v>-2.9000000000000001E-2</v>
      </c>
    </row>
    <row r="42" spans="2:14" x14ac:dyDescent="0.45">
      <c r="B42" s="58">
        <v>45148</v>
      </c>
      <c r="C42" s="36">
        <v>4.6159999999999997</v>
      </c>
      <c r="D42" s="36">
        <v>4.6280000000000001</v>
      </c>
      <c r="E42" s="36">
        <v>4.7279999999999998</v>
      </c>
      <c r="F42" s="36">
        <v>4.53</v>
      </c>
      <c r="G42" s="52">
        <v>-3.7100000000000001E-2</v>
      </c>
      <c r="K42" s="56" t="s">
        <v>76</v>
      </c>
      <c r="L42" s="52">
        <v>3.4700000000000002E-2</v>
      </c>
      <c r="M42" s="36" t="s">
        <v>76</v>
      </c>
      <c r="N42" s="52">
        <v>1.5E-3</v>
      </c>
    </row>
    <row r="43" spans="2:14" x14ac:dyDescent="0.45">
      <c r="B43" s="58">
        <v>44936</v>
      </c>
      <c r="C43" s="36">
        <v>4.7949999999999999</v>
      </c>
      <c r="D43" s="36">
        <v>4.6139999999999999</v>
      </c>
      <c r="E43" s="36">
        <v>4.8869999999999996</v>
      </c>
      <c r="F43" s="36">
        <v>4.6020000000000003</v>
      </c>
      <c r="G43" s="52">
        <v>4.7E-2</v>
      </c>
      <c r="K43" s="56" t="s">
        <v>77</v>
      </c>
      <c r="L43" s="52">
        <v>3.1099999999999999E-2</v>
      </c>
      <c r="M43" s="36" t="s">
        <v>77</v>
      </c>
      <c r="N43" s="52">
        <v>1.7500000000000002E-2</v>
      </c>
    </row>
    <row r="44" spans="2:14" x14ac:dyDescent="0.45">
      <c r="B44" s="56" t="s">
        <v>78</v>
      </c>
      <c r="C44" s="36">
        <v>4.5789999999999997</v>
      </c>
      <c r="D44" s="36">
        <v>4.4420000000000002</v>
      </c>
      <c r="E44" s="36">
        <v>4.6879999999999997</v>
      </c>
      <c r="F44" s="36">
        <v>4.4420000000000002</v>
      </c>
      <c r="G44" s="52">
        <v>3.1899999999999998E-2</v>
      </c>
      <c r="K44" s="56" t="s">
        <v>79</v>
      </c>
      <c r="L44" s="52">
        <v>2.7099999999999999E-2</v>
      </c>
      <c r="M44" s="36" t="s">
        <v>79</v>
      </c>
      <c r="N44" s="52">
        <v>1E-3</v>
      </c>
    </row>
    <row r="45" spans="2:14" x14ac:dyDescent="0.45">
      <c r="B45" s="56" t="s">
        <v>80</v>
      </c>
      <c r="C45" s="36">
        <v>4.4379999999999997</v>
      </c>
      <c r="D45" s="36">
        <v>4.306</v>
      </c>
      <c r="E45" s="36">
        <v>4.508</v>
      </c>
      <c r="F45" s="36">
        <v>4.3010000000000002</v>
      </c>
      <c r="G45" s="52">
        <v>2.3400000000000001E-2</v>
      </c>
      <c r="K45" s="56" t="s">
        <v>81</v>
      </c>
      <c r="L45" s="52">
        <v>-1.12E-2</v>
      </c>
      <c r="M45" s="36" t="s">
        <v>81</v>
      </c>
      <c r="N45" s="52">
        <v>-3.3000000000000002E-2</v>
      </c>
    </row>
    <row r="46" spans="2:14" x14ac:dyDescent="0.45">
      <c r="B46" s="58">
        <v>45208</v>
      </c>
      <c r="C46" s="36">
        <v>4.3360000000000003</v>
      </c>
      <c r="D46" s="36">
        <v>4.2859999999999996</v>
      </c>
      <c r="E46" s="36">
        <v>4.3520000000000003</v>
      </c>
      <c r="F46" s="36">
        <v>4.2210000000000001</v>
      </c>
      <c r="G46" s="52">
        <v>1.7899999999999999E-2</v>
      </c>
      <c r="K46" s="56" t="s">
        <v>82</v>
      </c>
      <c r="L46" s="52">
        <v>-1.5699999999999999E-2</v>
      </c>
      <c r="M46" s="36" t="s">
        <v>82</v>
      </c>
      <c r="N46" s="52">
        <v>-5.1000000000000004E-3</v>
      </c>
    </row>
    <row r="47" spans="2:14" x14ac:dyDescent="0.45">
      <c r="B47" s="58">
        <v>44994</v>
      </c>
      <c r="C47" s="36">
        <v>4.26</v>
      </c>
      <c r="D47" s="36">
        <v>4.2080000000000002</v>
      </c>
      <c r="E47" s="36">
        <v>4.3079999999999998</v>
      </c>
      <c r="F47" s="36">
        <v>4.2039999999999997</v>
      </c>
      <c r="G47" s="52">
        <v>1.9E-2</v>
      </c>
      <c r="K47" s="56" t="s">
        <v>83</v>
      </c>
      <c r="L47" s="52">
        <v>-2.8E-3</v>
      </c>
      <c r="M47" s="36" t="s">
        <v>83</v>
      </c>
      <c r="N47" s="52">
        <v>-1.3599999999999999E-2</v>
      </c>
    </row>
    <row r="48" spans="2:14" x14ac:dyDescent="0.45">
      <c r="B48" s="56" t="s">
        <v>84</v>
      </c>
      <c r="C48" s="36">
        <v>4.181</v>
      </c>
      <c r="D48" s="36">
        <v>4.2530000000000001</v>
      </c>
      <c r="E48" s="36">
        <v>4.2569999999999997</v>
      </c>
      <c r="F48" s="36">
        <v>4.0599999999999996</v>
      </c>
      <c r="G48" s="52">
        <v>-1.2E-2</v>
      </c>
      <c r="K48" s="56" t="s">
        <v>85</v>
      </c>
      <c r="L48" s="52">
        <v>4.1200000000000001E-2</v>
      </c>
      <c r="M48" s="36" t="s">
        <v>85</v>
      </c>
      <c r="N48" s="52">
        <v>3.6700000000000003E-2</v>
      </c>
    </row>
    <row r="49" spans="2:14" x14ac:dyDescent="0.45">
      <c r="B49" s="56" t="s">
        <v>86</v>
      </c>
      <c r="C49" s="36">
        <v>4.2309999999999999</v>
      </c>
      <c r="D49" s="36">
        <v>4.26</v>
      </c>
      <c r="E49" s="36">
        <v>4.3659999999999997</v>
      </c>
      <c r="F49" s="36">
        <v>4.1740000000000004</v>
      </c>
      <c r="G49" s="52">
        <v>-4.4999999999999997E-3</v>
      </c>
      <c r="K49" s="56" t="s">
        <v>87</v>
      </c>
      <c r="L49" s="52">
        <v>3.8100000000000002E-2</v>
      </c>
      <c r="M49" s="36" t="s">
        <v>87</v>
      </c>
      <c r="N49" s="52">
        <v>1.6799999999999999E-2</v>
      </c>
    </row>
    <row r="50" spans="2:14" x14ac:dyDescent="0.45">
      <c r="B50" s="56" t="s">
        <v>88</v>
      </c>
      <c r="C50" s="36">
        <v>4.2510000000000003</v>
      </c>
      <c r="D50" s="36">
        <v>4.1719999999999997</v>
      </c>
      <c r="E50" s="36">
        <v>4.3280000000000003</v>
      </c>
      <c r="F50" s="36">
        <v>4.1459999999999999</v>
      </c>
      <c r="G50" s="52">
        <v>2.23E-2</v>
      </c>
      <c r="K50" s="56" t="s">
        <v>89</v>
      </c>
      <c r="L50" s="52">
        <v>-5.7000000000000002E-3</v>
      </c>
      <c r="M50" s="36" t="s">
        <v>89</v>
      </c>
      <c r="N50" s="52">
        <v>-2.2200000000000001E-2</v>
      </c>
    </row>
    <row r="51" spans="2:14" x14ac:dyDescent="0.45">
      <c r="B51" s="58">
        <v>45085</v>
      </c>
      <c r="C51" s="36">
        <v>4.1580000000000004</v>
      </c>
      <c r="D51" s="36">
        <v>4.05</v>
      </c>
      <c r="E51" s="36">
        <v>4.1779999999999999</v>
      </c>
      <c r="F51" s="36">
        <v>3.9569999999999999</v>
      </c>
      <c r="G51" s="52">
        <v>2.8799999999999999E-2</v>
      </c>
      <c r="K51" s="56" t="s">
        <v>90</v>
      </c>
      <c r="L51" s="52">
        <v>-2.9399999999999999E-2</v>
      </c>
      <c r="M51" s="36" t="s">
        <v>90</v>
      </c>
      <c r="N51" s="52">
        <v>-1.6199999999999999E-2</v>
      </c>
    </row>
    <row r="52" spans="2:14" x14ac:dyDescent="0.45">
      <c r="B52" s="56" t="s">
        <v>91</v>
      </c>
      <c r="C52" s="36">
        <v>4.0419999999999998</v>
      </c>
      <c r="D52" s="36">
        <v>3.9630000000000001</v>
      </c>
      <c r="E52" s="36">
        <v>4.2060000000000004</v>
      </c>
      <c r="F52" s="36">
        <v>3.927</v>
      </c>
      <c r="G52" s="52">
        <v>2.1499999999999998E-2</v>
      </c>
      <c r="K52" s="56" t="s">
        <v>92</v>
      </c>
      <c r="L52" s="52">
        <v>-2.1000000000000001E-2</v>
      </c>
      <c r="M52" s="36" t="s">
        <v>92</v>
      </c>
      <c r="N52" s="52">
        <v>-3.0200000000000001E-2</v>
      </c>
    </row>
    <row r="53" spans="2:14" x14ac:dyDescent="0.45">
      <c r="B53" s="56" t="s">
        <v>93</v>
      </c>
      <c r="C53" s="36">
        <v>3.9569999999999999</v>
      </c>
      <c r="D53" s="36">
        <v>3.847</v>
      </c>
      <c r="E53" s="36">
        <v>4.0430000000000001</v>
      </c>
      <c r="F53" s="36">
        <v>3.7919999999999998</v>
      </c>
      <c r="G53" s="52">
        <v>3.1199999999999999E-2</v>
      </c>
      <c r="K53" s="56" t="s">
        <v>94</v>
      </c>
      <c r="L53" s="52">
        <v>-6.7999999999999996E-3</v>
      </c>
      <c r="M53" s="36" t="s">
        <v>94</v>
      </c>
      <c r="N53" s="52">
        <v>2.1100000000000001E-2</v>
      </c>
    </row>
    <row r="54" spans="2:14" x14ac:dyDescent="0.45">
      <c r="B54" s="56" t="s">
        <v>95</v>
      </c>
      <c r="C54" s="36">
        <v>3.8370000000000002</v>
      </c>
      <c r="D54" s="36">
        <v>3.8149999999999999</v>
      </c>
      <c r="E54" s="36">
        <v>3.8740000000000001</v>
      </c>
      <c r="F54" s="36">
        <v>3.7269999999999999</v>
      </c>
      <c r="G54" s="52">
        <v>1.6999999999999999E-3</v>
      </c>
      <c r="K54" s="56" t="s">
        <v>96</v>
      </c>
      <c r="L54" s="52">
        <v>-2.0000000000000001E-4</v>
      </c>
      <c r="M54" s="36" t="s">
        <v>96</v>
      </c>
      <c r="N54" s="52">
        <v>-8.9999999999999993E-3</v>
      </c>
    </row>
    <row r="55" spans="2:14" x14ac:dyDescent="0.45">
      <c r="B55" s="58">
        <v>45176</v>
      </c>
      <c r="C55" s="36">
        <v>3.83</v>
      </c>
      <c r="D55" s="36">
        <v>4.0620000000000003</v>
      </c>
      <c r="E55" s="36">
        <v>4.0919999999999996</v>
      </c>
      <c r="F55" s="36">
        <v>3.7570000000000001</v>
      </c>
      <c r="G55" s="52">
        <v>-5.79E-2</v>
      </c>
      <c r="K55" s="56" t="s">
        <v>97</v>
      </c>
      <c r="L55" s="52">
        <v>5.2900000000000003E-2</v>
      </c>
      <c r="M55" s="36" t="s">
        <v>97</v>
      </c>
      <c r="N55" s="52">
        <v>3.5200000000000002E-2</v>
      </c>
    </row>
    <row r="56" spans="2:14" x14ac:dyDescent="0.45">
      <c r="B56" s="58">
        <v>44964</v>
      </c>
      <c r="C56" s="36">
        <v>4.0659999999999998</v>
      </c>
      <c r="D56" s="36">
        <v>3.8450000000000002</v>
      </c>
      <c r="E56" s="36">
        <v>4.0940000000000003</v>
      </c>
      <c r="F56" s="36">
        <v>3.778</v>
      </c>
      <c r="G56" s="52">
        <v>5.8599999999999999E-2</v>
      </c>
      <c r="K56" s="56" t="s">
        <v>98</v>
      </c>
      <c r="L56" s="52">
        <v>-9.4999999999999998E-3</v>
      </c>
      <c r="M56" s="36" t="s">
        <v>98</v>
      </c>
      <c r="N56" s="52">
        <v>-9.4000000000000004E-3</v>
      </c>
    </row>
    <row r="57" spans="2:14" x14ac:dyDescent="0.45">
      <c r="B57" s="56" t="s">
        <v>99</v>
      </c>
      <c r="C57" s="36">
        <v>3.8410000000000002</v>
      </c>
      <c r="D57" s="36">
        <v>3.7210000000000001</v>
      </c>
      <c r="E57" s="36">
        <v>3.8919999999999999</v>
      </c>
      <c r="F57" s="36">
        <v>3.6789999999999998</v>
      </c>
      <c r="G57" s="52">
        <v>2.7799999999999998E-2</v>
      </c>
      <c r="K57" s="56" t="s">
        <v>100</v>
      </c>
      <c r="L57" s="52">
        <v>3.78E-2</v>
      </c>
      <c r="M57" s="36" t="s">
        <v>100</v>
      </c>
      <c r="N57" s="52">
        <v>1.9300000000000001E-2</v>
      </c>
    </row>
    <row r="58" spans="2:14" x14ac:dyDescent="0.45">
      <c r="B58" s="56" t="s">
        <v>101</v>
      </c>
      <c r="C58" s="36">
        <v>3.7370000000000001</v>
      </c>
      <c r="D58" s="36">
        <v>3.8239999999999998</v>
      </c>
      <c r="E58" s="36">
        <v>3.8260000000000001</v>
      </c>
      <c r="F58" s="36">
        <v>3.6920000000000002</v>
      </c>
      <c r="G58" s="52">
        <v>-8.0999999999999996E-3</v>
      </c>
      <c r="K58" s="56" t="s">
        <v>102</v>
      </c>
      <c r="L58" s="52">
        <v>-4.9000000000000002E-2</v>
      </c>
      <c r="M58" s="36" t="s">
        <v>102</v>
      </c>
      <c r="N58" s="52">
        <v>-1.2800000000000001E-2</v>
      </c>
    </row>
    <row r="59" spans="2:14" x14ac:dyDescent="0.45">
      <c r="B59" s="58">
        <v>45236</v>
      </c>
      <c r="C59" s="36">
        <v>3.7669999999999999</v>
      </c>
      <c r="D59" s="36">
        <v>3.7450000000000001</v>
      </c>
      <c r="E59" s="36">
        <v>3.851</v>
      </c>
      <c r="F59" s="36">
        <v>3.6819999999999999</v>
      </c>
      <c r="G59" s="52">
        <v>6.4000000000000003E-3</v>
      </c>
      <c r="K59" s="56" t="s">
        <v>103</v>
      </c>
      <c r="L59" s="52">
        <v>5.4999999999999997E-3</v>
      </c>
      <c r="M59" s="36" t="s">
        <v>103</v>
      </c>
      <c r="N59" s="52">
        <v>3.8199999999999998E-2</v>
      </c>
    </row>
    <row r="60" spans="2:14" x14ac:dyDescent="0.45">
      <c r="B60" s="58">
        <v>45022</v>
      </c>
      <c r="C60" s="36">
        <v>3.7429999999999999</v>
      </c>
      <c r="D60" s="36">
        <v>3.706</v>
      </c>
      <c r="E60" s="36">
        <v>3.8210000000000002</v>
      </c>
      <c r="F60" s="36">
        <v>3.6539999999999999</v>
      </c>
      <c r="G60" s="52">
        <v>1.21E-2</v>
      </c>
      <c r="K60" s="56" t="s">
        <v>104</v>
      </c>
      <c r="L60" s="52">
        <v>-2.35E-2</v>
      </c>
      <c r="M60" s="36" t="s">
        <v>104</v>
      </c>
      <c r="N60" s="52">
        <v>-1.2999999999999999E-3</v>
      </c>
    </row>
    <row r="61" spans="2:14" x14ac:dyDescent="0.45">
      <c r="B61" s="56" t="s">
        <v>105</v>
      </c>
      <c r="C61" s="36">
        <v>3.698</v>
      </c>
      <c r="D61" s="36">
        <v>3.7650000000000001</v>
      </c>
      <c r="E61" s="36">
        <v>3.7690000000000001</v>
      </c>
      <c r="F61" s="36">
        <v>3.57</v>
      </c>
      <c r="G61" s="52">
        <v>-2.93E-2</v>
      </c>
      <c r="K61" s="56" t="s">
        <v>106</v>
      </c>
      <c r="L61" s="52">
        <v>1.04E-2</v>
      </c>
      <c r="M61" s="36" t="s">
        <v>106</v>
      </c>
      <c r="N61" s="52">
        <v>1.7399999999999999E-2</v>
      </c>
    </row>
    <row r="62" spans="2:14" x14ac:dyDescent="0.45">
      <c r="B62" s="56" t="s">
        <v>107</v>
      </c>
      <c r="C62" s="36">
        <v>3.81</v>
      </c>
      <c r="D62" s="36">
        <v>3.669</v>
      </c>
      <c r="E62" s="36">
        <v>3.859</v>
      </c>
      <c r="F62" s="36">
        <v>3.6419999999999999</v>
      </c>
      <c r="G62" s="52">
        <v>3.4700000000000002E-2</v>
      </c>
      <c r="K62" s="56" t="s">
        <v>108</v>
      </c>
      <c r="L62" s="52">
        <v>8.8700000000000001E-2</v>
      </c>
      <c r="M62" s="36" t="s">
        <v>108</v>
      </c>
      <c r="N62" s="52">
        <v>3.5900000000000001E-2</v>
      </c>
    </row>
    <row r="63" spans="2:14" x14ac:dyDescent="0.45">
      <c r="B63" s="56" t="s">
        <v>109</v>
      </c>
      <c r="C63" s="36">
        <v>3.6819999999999999</v>
      </c>
      <c r="D63" s="36">
        <v>3.464</v>
      </c>
      <c r="E63" s="36">
        <v>3.72</v>
      </c>
      <c r="F63" s="36">
        <v>3.4569999999999999</v>
      </c>
      <c r="G63" s="52">
        <v>6.3500000000000001E-2</v>
      </c>
      <c r="K63" s="56" t="s">
        <v>110</v>
      </c>
      <c r="L63" s="52">
        <v>0.1075</v>
      </c>
      <c r="M63" s="36" t="s">
        <v>110</v>
      </c>
      <c r="N63" s="52">
        <v>3.4700000000000002E-2</v>
      </c>
    </row>
    <row r="64" spans="2:14" x14ac:dyDescent="0.45">
      <c r="B64" s="58">
        <v>45112</v>
      </c>
      <c r="C64" s="36">
        <v>3.4630000000000001</v>
      </c>
      <c r="D64" s="36">
        <v>3.448</v>
      </c>
      <c r="E64" s="36">
        <v>3.532</v>
      </c>
      <c r="F64" s="36">
        <v>3.3450000000000002</v>
      </c>
      <c r="G64" s="52">
        <v>8.0000000000000002E-3</v>
      </c>
      <c r="K64" s="56" t="s">
        <v>111</v>
      </c>
      <c r="L64" s="52">
        <v>-7.3000000000000001E-3</v>
      </c>
      <c r="M64" s="36" t="s">
        <v>111</v>
      </c>
      <c r="N64" s="52">
        <v>6.1000000000000004E-3</v>
      </c>
    </row>
    <row r="65" spans="2:14" x14ac:dyDescent="0.45">
      <c r="B65" s="56" t="s">
        <v>112</v>
      </c>
      <c r="C65" s="36">
        <v>3.4350000000000001</v>
      </c>
      <c r="D65" s="36">
        <v>3.45</v>
      </c>
      <c r="E65" s="36">
        <v>3.6080000000000001</v>
      </c>
      <c r="F65" s="36">
        <v>3.2959999999999998</v>
      </c>
      <c r="G65" s="52">
        <v>5.0000000000000001E-4</v>
      </c>
      <c r="K65" s="56" t="s">
        <v>113</v>
      </c>
      <c r="L65" s="52">
        <v>5.9999999999999995E-4</v>
      </c>
      <c r="M65" s="36" t="s">
        <v>113</v>
      </c>
      <c r="N65" s="52">
        <v>1E-3</v>
      </c>
    </row>
    <row r="66" spans="2:14" x14ac:dyDescent="0.45">
      <c r="B66" s="56" t="s">
        <v>114</v>
      </c>
      <c r="C66" s="36">
        <v>3.4329999999999998</v>
      </c>
      <c r="D66" s="36">
        <v>3.5720000000000001</v>
      </c>
      <c r="E66" s="36">
        <v>3.5720000000000001</v>
      </c>
      <c r="F66" s="36">
        <v>3.375</v>
      </c>
      <c r="G66" s="52">
        <v>-3.78E-2</v>
      </c>
      <c r="K66" s="56" t="s">
        <v>115</v>
      </c>
      <c r="L66" s="52">
        <v>-1.5699999999999999E-2</v>
      </c>
      <c r="M66" s="36" t="s">
        <v>115</v>
      </c>
      <c r="N66" s="52">
        <v>1.89E-2</v>
      </c>
    </row>
    <row r="67" spans="2:14" x14ac:dyDescent="0.45">
      <c r="B67" s="56" t="s">
        <v>116</v>
      </c>
      <c r="C67" s="36">
        <v>3.5680000000000001</v>
      </c>
      <c r="D67" s="36">
        <v>3.53</v>
      </c>
      <c r="E67" s="36">
        <v>3.6389999999999998</v>
      </c>
      <c r="F67" s="36">
        <v>3.5009999999999999</v>
      </c>
      <c r="G67" s="52">
        <v>1.52E-2</v>
      </c>
      <c r="K67" s="56" t="s">
        <v>117</v>
      </c>
      <c r="L67" s="52">
        <v>-1.1599999999999999E-2</v>
      </c>
      <c r="M67" s="36" t="s">
        <v>117</v>
      </c>
      <c r="N67" s="52">
        <v>-6.0000000000000001E-3</v>
      </c>
    </row>
    <row r="68" spans="2:14" x14ac:dyDescent="0.45">
      <c r="B68" s="58">
        <v>45173</v>
      </c>
      <c r="C68" s="36">
        <v>3.5150000000000001</v>
      </c>
      <c r="D68" s="36">
        <v>3.3719999999999999</v>
      </c>
      <c r="E68" s="36">
        <v>3.5369999999999999</v>
      </c>
      <c r="F68" s="36">
        <v>3.34</v>
      </c>
      <c r="G68" s="52">
        <v>2.98E-2</v>
      </c>
      <c r="K68" s="56" t="s">
        <v>118</v>
      </c>
      <c r="L68" s="52">
        <v>1.5299999999999999E-2</v>
      </c>
      <c r="M68" s="36" t="s">
        <v>118</v>
      </c>
      <c r="N68" s="52">
        <v>1.2999999999999999E-3</v>
      </c>
    </row>
    <row r="69" spans="2:14" x14ac:dyDescent="0.45">
      <c r="B69" s="58">
        <v>44961</v>
      </c>
      <c r="C69" s="36">
        <v>3.4129999999999998</v>
      </c>
      <c r="D69" s="36">
        <v>3.524</v>
      </c>
      <c r="E69" s="36">
        <v>3.5449999999999999</v>
      </c>
      <c r="F69" s="36">
        <v>3.2530000000000001</v>
      </c>
      <c r="G69" s="52">
        <v>-1.7299999999999999E-2</v>
      </c>
      <c r="K69" s="56" t="s">
        <v>119</v>
      </c>
      <c r="L69" s="52">
        <v>-2.6700000000000002E-2</v>
      </c>
      <c r="M69" s="36" t="s">
        <v>119</v>
      </c>
      <c r="N69" s="52">
        <v>-8.9999999999999993E-3</v>
      </c>
    </row>
    <row r="70" spans="2:14" x14ac:dyDescent="0.45">
      <c r="B70" s="56" t="s">
        <v>120</v>
      </c>
      <c r="C70" s="36">
        <v>3.4729999999999999</v>
      </c>
      <c r="D70" s="36">
        <v>3.4</v>
      </c>
      <c r="E70" s="36">
        <v>3.6110000000000002</v>
      </c>
      <c r="F70" s="36">
        <v>3.367</v>
      </c>
      <c r="G70" s="52">
        <v>2.9899999999999999E-2</v>
      </c>
      <c r="K70" s="56" t="s">
        <v>121</v>
      </c>
      <c r="L70" s="52">
        <v>2.5700000000000001E-2</v>
      </c>
      <c r="M70" s="36" t="s">
        <v>121</v>
      </c>
      <c r="N70" s="52">
        <v>3.2500000000000001E-2</v>
      </c>
    </row>
    <row r="71" spans="2:14" x14ac:dyDescent="0.45">
      <c r="B71" s="56" t="s">
        <v>122</v>
      </c>
      <c r="C71" s="36">
        <v>3.3719999999999999</v>
      </c>
      <c r="D71" s="36">
        <v>3.468</v>
      </c>
      <c r="E71" s="36">
        <v>3.6440000000000001</v>
      </c>
      <c r="F71" s="36">
        <v>3.2850000000000001</v>
      </c>
      <c r="G71" s="52">
        <v>-1.9E-2</v>
      </c>
      <c r="K71" s="56" t="s">
        <v>123</v>
      </c>
      <c r="L71" s="52">
        <v>1.0800000000000001E-2</v>
      </c>
      <c r="M71" s="36" t="s">
        <v>123</v>
      </c>
      <c r="N71" s="52">
        <v>1.9699999999999999E-2</v>
      </c>
    </row>
    <row r="72" spans="2:14" x14ac:dyDescent="0.45">
      <c r="B72" s="58">
        <v>45263</v>
      </c>
      <c r="C72" s="36">
        <v>3.4380000000000002</v>
      </c>
      <c r="D72" s="36">
        <v>3.75</v>
      </c>
      <c r="E72" s="36">
        <v>3.762</v>
      </c>
      <c r="F72" s="36">
        <v>3.3690000000000002</v>
      </c>
      <c r="G72" s="52">
        <v>-7.1999999999999995E-2</v>
      </c>
      <c r="K72" s="56" t="s">
        <v>124</v>
      </c>
      <c r="L72" s="52">
        <v>4.87E-2</v>
      </c>
      <c r="M72" s="36" t="s">
        <v>124</v>
      </c>
      <c r="N72" s="52">
        <v>5.8299999999999998E-2</v>
      </c>
    </row>
    <row r="73" spans="2:14" x14ac:dyDescent="0.45">
      <c r="B73" s="58">
        <v>45049</v>
      </c>
      <c r="C73" s="36">
        <v>3.7040000000000002</v>
      </c>
      <c r="D73" s="36">
        <v>3.9649999999999999</v>
      </c>
      <c r="E73" s="36">
        <v>4.0190000000000001</v>
      </c>
      <c r="F73" s="36">
        <v>3.6739999999999999</v>
      </c>
      <c r="G73" s="52">
        <v>-6.4000000000000001E-2</v>
      </c>
      <c r="K73" s="56" t="s">
        <v>125</v>
      </c>
      <c r="L73" s="52">
        <v>-3.3399999999999999E-2</v>
      </c>
      <c r="M73" s="36" t="s">
        <v>125</v>
      </c>
      <c r="N73" s="52">
        <v>-3.7499999999999999E-2</v>
      </c>
    </row>
    <row r="74" spans="2:14" x14ac:dyDescent="0.45">
      <c r="B74" s="56" t="s">
        <v>126</v>
      </c>
      <c r="C74" s="36">
        <v>3.9580000000000002</v>
      </c>
      <c r="D74" s="36">
        <v>3.9340000000000002</v>
      </c>
      <c r="E74" s="36">
        <v>4.0910000000000002</v>
      </c>
      <c r="F74" s="36">
        <v>3.8969999999999998</v>
      </c>
      <c r="G74" s="52">
        <v>2.7000000000000001E-3</v>
      </c>
      <c r="K74" s="56" t="s">
        <v>127</v>
      </c>
      <c r="L74" s="52">
        <v>1.44E-2</v>
      </c>
      <c r="M74" s="36" t="s">
        <v>127</v>
      </c>
      <c r="N74" s="52">
        <v>2.6800000000000001E-2</v>
      </c>
    </row>
    <row r="75" spans="2:14" x14ac:dyDescent="0.45">
      <c r="B75" s="56" t="s">
        <v>128</v>
      </c>
      <c r="C75" s="36">
        <v>3.9470000000000001</v>
      </c>
      <c r="D75" s="36">
        <v>3.851</v>
      </c>
      <c r="E75" s="36">
        <v>3.9780000000000002</v>
      </c>
      <c r="F75" s="36">
        <v>3.84</v>
      </c>
      <c r="G75" s="52">
        <v>3.4200000000000001E-2</v>
      </c>
      <c r="K75" s="56" t="s">
        <v>129</v>
      </c>
      <c r="L75" s="52">
        <v>2.2100000000000002E-2</v>
      </c>
      <c r="M75" s="36" t="s">
        <v>129</v>
      </c>
      <c r="N75" s="52">
        <v>-3.1399999999999997E-2</v>
      </c>
    </row>
    <row r="76" spans="2:14" x14ac:dyDescent="0.45">
      <c r="B76" s="58">
        <v>45262</v>
      </c>
      <c r="C76" s="36">
        <v>3.8170000000000002</v>
      </c>
      <c r="D76" s="36">
        <v>3.7429999999999999</v>
      </c>
      <c r="E76" s="36">
        <v>3.9289999999999998</v>
      </c>
      <c r="F76" s="36">
        <v>3.6219999999999999</v>
      </c>
      <c r="G76" s="52">
        <v>1.9599999999999999E-2</v>
      </c>
      <c r="K76" s="56" t="s">
        <v>130</v>
      </c>
      <c r="L76" s="52">
        <v>-1.2999999999999999E-2</v>
      </c>
      <c r="M76" s="36" t="s">
        <v>130</v>
      </c>
      <c r="N76" s="52">
        <v>4.3E-3</v>
      </c>
    </row>
    <row r="77" spans="2:14" x14ac:dyDescent="0.45">
      <c r="B77" s="58">
        <v>45048</v>
      </c>
      <c r="C77" s="36">
        <v>3.7429999999999999</v>
      </c>
      <c r="D77" s="36">
        <v>3.5619999999999998</v>
      </c>
      <c r="E77" s="36">
        <v>3.7509999999999999</v>
      </c>
      <c r="F77" s="36">
        <v>3.536</v>
      </c>
      <c r="G77" s="52">
        <v>6.3799999999999996E-2</v>
      </c>
      <c r="K77" s="56" t="s">
        <v>131</v>
      </c>
      <c r="L77" s="52">
        <v>-6.4000000000000003E-3</v>
      </c>
      <c r="M77" s="36" t="s">
        <v>131</v>
      </c>
      <c r="N77" s="52">
        <v>-2.1399999999999999E-2</v>
      </c>
    </row>
    <row r="78" spans="2:14" x14ac:dyDescent="0.45">
      <c r="B78" s="56" t="s">
        <v>132</v>
      </c>
      <c r="C78" s="36">
        <v>3.5190000000000001</v>
      </c>
      <c r="D78" s="36">
        <v>3.5110000000000001</v>
      </c>
      <c r="E78" s="36">
        <v>3.5739999999999998</v>
      </c>
      <c r="F78" s="36">
        <v>3.3330000000000002</v>
      </c>
      <c r="G78" s="52">
        <v>3.3999999999999998E-3</v>
      </c>
      <c r="K78" s="56" t="s">
        <v>133</v>
      </c>
      <c r="L78" s="52">
        <v>1.17E-2</v>
      </c>
      <c r="M78" s="36" t="s">
        <v>133</v>
      </c>
      <c r="N78" s="52">
        <v>3.3399999999999999E-2</v>
      </c>
    </row>
    <row r="79" spans="2:14" x14ac:dyDescent="0.45">
      <c r="B79" s="56" t="s">
        <v>134</v>
      </c>
      <c r="C79" s="36">
        <v>3.5070000000000001</v>
      </c>
      <c r="D79" s="36">
        <v>3.4860000000000002</v>
      </c>
      <c r="E79" s="36">
        <v>3.5649999999999999</v>
      </c>
      <c r="F79" s="36">
        <v>3.42</v>
      </c>
      <c r="G79" s="52">
        <v>7.1000000000000004E-3</v>
      </c>
      <c r="K79" s="56" t="s">
        <v>135</v>
      </c>
      <c r="L79" s="52">
        <v>4.3400000000000001E-2</v>
      </c>
      <c r="M79" s="36" t="s">
        <v>135</v>
      </c>
      <c r="N79" s="52">
        <v>4.7100000000000003E-2</v>
      </c>
    </row>
    <row r="80" spans="2:14" x14ac:dyDescent="0.45">
      <c r="B80" s="56" t="s">
        <v>136</v>
      </c>
      <c r="C80" s="36">
        <v>3.4820000000000002</v>
      </c>
      <c r="D80" s="36">
        <v>3.5270000000000001</v>
      </c>
      <c r="E80" s="36">
        <v>3.585</v>
      </c>
      <c r="F80" s="36">
        <v>3.3210000000000002</v>
      </c>
      <c r="G80" s="52">
        <v>-4.4999999999999997E-3</v>
      </c>
      <c r="K80" s="56" t="s">
        <v>137</v>
      </c>
      <c r="L80" s="52">
        <v>2.8400000000000002E-2</v>
      </c>
      <c r="M80" s="36" t="s">
        <v>137</v>
      </c>
      <c r="N80" s="52">
        <v>6.7000000000000002E-3</v>
      </c>
    </row>
    <row r="81" spans="2:14" x14ac:dyDescent="0.45">
      <c r="B81" s="58">
        <v>45139</v>
      </c>
      <c r="C81" s="36">
        <v>3.4980000000000002</v>
      </c>
      <c r="D81" s="36">
        <v>3.5779999999999998</v>
      </c>
      <c r="E81" s="36">
        <v>3.6389999999999998</v>
      </c>
      <c r="F81" s="36">
        <v>3.4180000000000001</v>
      </c>
      <c r="G81" s="52">
        <v>-1.7399999999999999E-2</v>
      </c>
      <c r="K81" s="56" t="s">
        <v>138</v>
      </c>
      <c r="L81" s="52">
        <v>3.8800000000000001E-2</v>
      </c>
      <c r="M81" s="36" t="s">
        <v>138</v>
      </c>
      <c r="N81" s="52">
        <v>4.5400000000000003E-2</v>
      </c>
    </row>
    <row r="82" spans="2:14" x14ac:dyDescent="0.45">
      <c r="B82" s="58">
        <v>44927</v>
      </c>
      <c r="C82" s="36">
        <v>3.56</v>
      </c>
      <c r="D82" s="36">
        <v>3.8479999999999999</v>
      </c>
      <c r="E82" s="36">
        <v>3.8479999999999999</v>
      </c>
      <c r="F82" s="36">
        <v>3.5510000000000002</v>
      </c>
      <c r="G82" s="52">
        <v>-8.2199999999999995E-2</v>
      </c>
      <c r="K82" s="56" t="s">
        <v>139</v>
      </c>
      <c r="L82" s="52">
        <v>3.8999999999999998E-3</v>
      </c>
      <c r="M82" s="36" t="s">
        <v>139</v>
      </c>
      <c r="N82" s="52">
        <v>9.1999999999999998E-3</v>
      </c>
    </row>
    <row r="83" spans="2:14" x14ac:dyDescent="0.45">
      <c r="B83" s="56" t="s">
        <v>140</v>
      </c>
      <c r="C83" s="36">
        <v>3.879</v>
      </c>
      <c r="D83" s="36">
        <v>3.7450000000000001</v>
      </c>
      <c r="E83" s="36">
        <v>3.9049999999999998</v>
      </c>
      <c r="F83" s="36">
        <v>3.7269999999999999</v>
      </c>
      <c r="G83" s="52">
        <v>3.4000000000000002E-2</v>
      </c>
      <c r="K83" s="56" t="s">
        <v>141</v>
      </c>
      <c r="L83" s="52">
        <v>-2.8999999999999998E-3</v>
      </c>
      <c r="M83" s="36" t="s">
        <v>141</v>
      </c>
      <c r="N83" s="52">
        <v>-4.1999999999999997E-3</v>
      </c>
    </row>
    <row r="84" spans="2:14" x14ac:dyDescent="0.45">
      <c r="B84" s="56" t="s">
        <v>142</v>
      </c>
      <c r="C84" s="36">
        <v>3.7509999999999999</v>
      </c>
      <c r="D84" s="36">
        <v>3.51</v>
      </c>
      <c r="E84" s="36">
        <v>3.7530000000000001</v>
      </c>
      <c r="F84" s="36">
        <v>3.4969999999999999</v>
      </c>
      <c r="G84" s="52">
        <v>7.5499999999999998E-2</v>
      </c>
      <c r="K84" s="56" t="s">
        <v>143</v>
      </c>
      <c r="L84" s="52">
        <v>-2.7099999999999999E-2</v>
      </c>
      <c r="M84" s="36" t="s">
        <v>143</v>
      </c>
      <c r="N84" s="52">
        <v>-2.3E-2</v>
      </c>
    </row>
    <row r="85" spans="2:14" x14ac:dyDescent="0.45">
      <c r="B85" s="58">
        <v>44877</v>
      </c>
      <c r="C85" s="36">
        <v>3.488</v>
      </c>
      <c r="D85" s="36">
        <v>3.5859999999999999</v>
      </c>
      <c r="E85" s="36">
        <v>3.6320000000000001</v>
      </c>
      <c r="F85" s="36">
        <v>3.4209999999999998</v>
      </c>
      <c r="G85" s="52">
        <v>-2.7300000000000001E-2</v>
      </c>
      <c r="K85" s="56" t="s">
        <v>144</v>
      </c>
      <c r="L85" s="52">
        <v>1.03E-2</v>
      </c>
      <c r="M85" s="36" t="s">
        <v>144</v>
      </c>
      <c r="N85" s="52">
        <v>-2.76E-2</v>
      </c>
    </row>
    <row r="86" spans="2:14" x14ac:dyDescent="0.45">
      <c r="B86" s="58">
        <v>44663</v>
      </c>
      <c r="C86" s="36">
        <v>3.5859999999999999</v>
      </c>
      <c r="D86" s="36">
        <v>3.5190000000000001</v>
      </c>
      <c r="E86" s="36">
        <v>3.6120000000000001</v>
      </c>
      <c r="F86" s="36">
        <v>3.4020000000000001</v>
      </c>
      <c r="G86" s="52">
        <v>2.69E-2</v>
      </c>
      <c r="K86" s="56" t="s">
        <v>145</v>
      </c>
      <c r="L86" s="52">
        <v>-6.4399999999999999E-2</v>
      </c>
      <c r="M86" s="36" t="s">
        <v>145</v>
      </c>
      <c r="N86" s="52">
        <v>-3.5900000000000001E-2</v>
      </c>
    </row>
    <row r="87" spans="2:14" x14ac:dyDescent="0.45">
      <c r="B87" s="56" t="s">
        <v>146</v>
      </c>
      <c r="C87" s="36">
        <v>3.492</v>
      </c>
      <c r="D87" s="36">
        <v>3.6920000000000002</v>
      </c>
      <c r="E87" s="36">
        <v>3.798</v>
      </c>
      <c r="F87" s="36">
        <v>3.4740000000000002</v>
      </c>
      <c r="G87" s="52">
        <v>-5.3900000000000003E-2</v>
      </c>
      <c r="K87" s="56" t="s">
        <v>147</v>
      </c>
      <c r="L87" s="52">
        <v>4.6699999999999998E-2</v>
      </c>
      <c r="M87" s="36" t="s">
        <v>147</v>
      </c>
      <c r="N87" s="52">
        <v>2.0299999999999999E-2</v>
      </c>
    </row>
    <row r="88" spans="2:14" x14ac:dyDescent="0.45">
      <c r="B88" s="56" t="s">
        <v>148</v>
      </c>
      <c r="C88" s="36">
        <v>3.6909999999999998</v>
      </c>
      <c r="D88" s="36">
        <v>3.8159999999999998</v>
      </c>
      <c r="E88" s="36">
        <v>3.8439999999999999</v>
      </c>
      <c r="F88" s="36">
        <v>3.65</v>
      </c>
      <c r="G88" s="52">
        <v>-3.61E-2</v>
      </c>
      <c r="K88" s="56" t="s">
        <v>149</v>
      </c>
      <c r="L88" s="52">
        <v>2.07E-2</v>
      </c>
      <c r="M88" s="36" t="s">
        <v>149</v>
      </c>
      <c r="N88" s="52">
        <v>6.7999999999999996E-3</v>
      </c>
    </row>
    <row r="89" spans="2:14" x14ac:dyDescent="0.45">
      <c r="B89" s="56" t="s">
        <v>150</v>
      </c>
      <c r="C89" s="36">
        <v>3.8290000000000002</v>
      </c>
      <c r="D89" s="36">
        <v>3.895</v>
      </c>
      <c r="E89" s="36">
        <v>3.9060000000000001</v>
      </c>
      <c r="F89" s="36">
        <v>3.6709999999999998</v>
      </c>
      <c r="G89" s="52">
        <v>4.7999999999999996E-3</v>
      </c>
      <c r="K89" s="56" t="s">
        <v>151</v>
      </c>
      <c r="L89" s="52">
        <v>-1.66E-2</v>
      </c>
      <c r="M89" s="36" t="s">
        <v>151</v>
      </c>
      <c r="N89" s="52">
        <v>-1.18E-2</v>
      </c>
    </row>
    <row r="90" spans="2:14" x14ac:dyDescent="0.45">
      <c r="B90" s="58">
        <v>44723</v>
      </c>
      <c r="C90" s="36">
        <v>3.8109999999999999</v>
      </c>
      <c r="D90" s="36">
        <v>4.1609999999999996</v>
      </c>
      <c r="E90" s="36">
        <v>4.2430000000000003</v>
      </c>
      <c r="F90" s="36">
        <v>3.8069999999999999</v>
      </c>
      <c r="G90" s="52">
        <v>-8.4599999999999995E-2</v>
      </c>
      <c r="K90" s="56" t="s">
        <v>152</v>
      </c>
      <c r="L90" s="52">
        <v>0.19819999999999999</v>
      </c>
      <c r="M90" s="36" t="s">
        <v>152</v>
      </c>
      <c r="N90" s="52">
        <v>8.8400000000000006E-2</v>
      </c>
    </row>
    <row r="91" spans="2:14" x14ac:dyDescent="0.45">
      <c r="B91" s="56" t="s">
        <v>153</v>
      </c>
      <c r="C91" s="36">
        <v>4.1630000000000003</v>
      </c>
      <c r="D91" s="36">
        <v>4.016</v>
      </c>
      <c r="E91" s="36">
        <v>4.2229999999999999</v>
      </c>
      <c r="F91" s="36">
        <v>3.92</v>
      </c>
      <c r="G91" s="52">
        <v>3.7999999999999999E-2</v>
      </c>
      <c r="K91" s="56" t="s">
        <v>154</v>
      </c>
      <c r="L91" s="52">
        <v>-6.5100000000000005E-2</v>
      </c>
      <c r="M91" s="36" t="s">
        <v>154</v>
      </c>
      <c r="N91" s="52">
        <v>-5.9700000000000003E-2</v>
      </c>
    </row>
    <row r="92" spans="2:14" x14ac:dyDescent="0.45">
      <c r="B92" s="56" t="s">
        <v>155</v>
      </c>
      <c r="C92" s="36">
        <v>4.01</v>
      </c>
      <c r="D92" s="36">
        <v>4.2060000000000004</v>
      </c>
      <c r="E92" s="36">
        <v>4.2910000000000004</v>
      </c>
      <c r="F92" s="36">
        <v>3.8980000000000001</v>
      </c>
      <c r="G92" s="52">
        <v>-4.9399999999999999E-2</v>
      </c>
      <c r="K92" s="56" t="s">
        <v>156</v>
      </c>
      <c r="L92" s="52">
        <v>-2.2000000000000001E-3</v>
      </c>
      <c r="M92" s="36" t="s">
        <v>156</v>
      </c>
      <c r="N92" s="52">
        <v>2.0899999999999998E-2</v>
      </c>
    </row>
    <row r="93" spans="2:14" x14ac:dyDescent="0.45">
      <c r="B93" s="56" t="s">
        <v>157</v>
      </c>
      <c r="C93" s="36">
        <v>4.2190000000000003</v>
      </c>
      <c r="D93" s="36">
        <v>4.0019999999999998</v>
      </c>
      <c r="E93" s="36">
        <v>4.3380000000000001</v>
      </c>
      <c r="F93" s="36">
        <v>3.91</v>
      </c>
      <c r="G93" s="52">
        <v>4.8800000000000003E-2</v>
      </c>
      <c r="K93" s="56" t="s">
        <v>158</v>
      </c>
      <c r="L93" s="52">
        <v>6.8000000000000005E-2</v>
      </c>
      <c r="M93" s="36" t="s">
        <v>158</v>
      </c>
      <c r="N93" s="52">
        <v>5.7799999999999997E-2</v>
      </c>
    </row>
    <row r="94" spans="2:14" x14ac:dyDescent="0.45">
      <c r="B94" s="58">
        <v>44814</v>
      </c>
      <c r="C94" s="36">
        <v>4.0229999999999997</v>
      </c>
      <c r="D94" s="36">
        <v>3.9569999999999999</v>
      </c>
      <c r="E94" s="36">
        <v>4.08</v>
      </c>
      <c r="F94" s="36">
        <v>3.8420000000000001</v>
      </c>
      <c r="G94" s="52">
        <v>3.4700000000000002E-2</v>
      </c>
      <c r="K94" s="56" t="s">
        <v>159</v>
      </c>
      <c r="L94" s="52">
        <v>-9.5799999999999996E-2</v>
      </c>
      <c r="M94" s="36" t="s">
        <v>159</v>
      </c>
      <c r="N94" s="52">
        <v>-3.15E-2</v>
      </c>
    </row>
    <row r="95" spans="2:14" x14ac:dyDescent="0.45">
      <c r="B95" s="58">
        <v>44602</v>
      </c>
      <c r="C95" s="36">
        <v>3.8879999999999999</v>
      </c>
      <c r="D95" s="36">
        <v>3.8130000000000002</v>
      </c>
      <c r="E95" s="36">
        <v>3.91</v>
      </c>
      <c r="F95" s="36">
        <v>3.5619999999999998</v>
      </c>
      <c r="G95" s="52">
        <v>1.54E-2</v>
      </c>
      <c r="K95" s="56" t="s">
        <v>160</v>
      </c>
      <c r="L95" s="52">
        <v>4.8999999999999998E-3</v>
      </c>
      <c r="M95" s="36" t="s">
        <v>160</v>
      </c>
      <c r="N95" s="52">
        <v>6.1999999999999998E-3</v>
      </c>
    </row>
    <row r="96" spans="2:14" x14ac:dyDescent="0.45">
      <c r="B96" s="56" t="s">
        <v>161</v>
      </c>
      <c r="C96" s="36">
        <v>3.8290000000000002</v>
      </c>
      <c r="D96" s="36">
        <v>3.734</v>
      </c>
      <c r="E96" s="36">
        <v>4.0190000000000001</v>
      </c>
      <c r="F96" s="36">
        <v>3.6819999999999999</v>
      </c>
      <c r="G96" s="52">
        <v>3.85E-2</v>
      </c>
      <c r="K96" s="56" t="s">
        <v>162</v>
      </c>
      <c r="L96" s="52">
        <v>7.4000000000000003E-3</v>
      </c>
      <c r="M96" s="36" t="s">
        <v>162</v>
      </c>
      <c r="N96" s="52">
        <v>-3.0099999999999998E-2</v>
      </c>
    </row>
    <row r="97" spans="2:14" x14ac:dyDescent="0.45">
      <c r="B97" s="56" t="s">
        <v>163</v>
      </c>
      <c r="C97" s="36">
        <v>3.6869999999999998</v>
      </c>
      <c r="D97" s="36">
        <v>3.448</v>
      </c>
      <c r="E97" s="36">
        <v>3.8290000000000002</v>
      </c>
      <c r="F97" s="36">
        <v>3.448</v>
      </c>
      <c r="G97" s="52">
        <v>6.6900000000000001E-2</v>
      </c>
      <c r="K97" s="56" t="s">
        <v>164</v>
      </c>
      <c r="L97" s="52">
        <v>-3.4799999999999998E-2</v>
      </c>
      <c r="M97" s="36" t="s">
        <v>164</v>
      </c>
      <c r="N97" s="52">
        <v>-4.6399999999999997E-2</v>
      </c>
    </row>
    <row r="98" spans="2:14" x14ac:dyDescent="0.45">
      <c r="B98" s="58">
        <v>44874</v>
      </c>
      <c r="C98" s="36">
        <v>3.4550000000000001</v>
      </c>
      <c r="D98" s="36">
        <v>3.3149999999999999</v>
      </c>
      <c r="E98" s="36">
        <v>3.492</v>
      </c>
      <c r="F98" s="36">
        <v>3.262</v>
      </c>
      <c r="G98" s="52">
        <v>4.2200000000000001E-2</v>
      </c>
      <c r="K98" s="56" t="s">
        <v>165</v>
      </c>
      <c r="L98" s="52">
        <v>-7.6300000000000007E-2</v>
      </c>
      <c r="M98" s="36" t="s">
        <v>165</v>
      </c>
      <c r="N98" s="52">
        <v>-5.7700000000000001E-2</v>
      </c>
    </row>
    <row r="99" spans="2:14" x14ac:dyDescent="0.45">
      <c r="B99" s="58">
        <v>44660</v>
      </c>
      <c r="C99" s="36">
        <v>3.3149999999999999</v>
      </c>
      <c r="D99" s="36">
        <v>3.2229999999999999</v>
      </c>
      <c r="E99" s="36">
        <v>3.3650000000000002</v>
      </c>
      <c r="F99" s="36">
        <v>3.2010000000000001</v>
      </c>
      <c r="G99" s="52">
        <v>3.7699999999999997E-2</v>
      </c>
      <c r="K99" s="56" t="s">
        <v>166</v>
      </c>
      <c r="L99" s="52">
        <v>2.9100000000000001E-2</v>
      </c>
      <c r="M99" s="36" t="s">
        <v>166</v>
      </c>
      <c r="N99" s="52">
        <v>4.0500000000000001E-2</v>
      </c>
    </row>
    <row r="100" spans="2:14" x14ac:dyDescent="0.45">
      <c r="B100" s="56" t="s">
        <v>167</v>
      </c>
      <c r="C100" s="36">
        <v>3.1949999999999998</v>
      </c>
      <c r="D100" s="36">
        <v>3.069</v>
      </c>
      <c r="E100" s="36">
        <v>3.2970000000000002</v>
      </c>
      <c r="F100" s="36">
        <v>3.05</v>
      </c>
      <c r="G100" s="52">
        <v>5.4600000000000003E-2</v>
      </c>
      <c r="K100" s="56" t="s">
        <v>168</v>
      </c>
      <c r="L100" s="52">
        <v>-6.88E-2</v>
      </c>
      <c r="M100" s="36" t="s">
        <v>168</v>
      </c>
      <c r="N100" s="52">
        <v>-4.02E-2</v>
      </c>
    </row>
    <row r="101" spans="2:14" x14ac:dyDescent="0.45">
      <c r="B101" s="56" t="s">
        <v>169</v>
      </c>
      <c r="C101" s="36">
        <v>3.03</v>
      </c>
      <c r="D101" s="36">
        <v>2.9889999999999999</v>
      </c>
      <c r="E101" s="36">
        <v>3.1280000000000001</v>
      </c>
      <c r="F101" s="36">
        <v>2.9430000000000001</v>
      </c>
      <c r="G101" s="52">
        <v>1.8100000000000002E-2</v>
      </c>
      <c r="K101" s="56" t="s">
        <v>170</v>
      </c>
      <c r="L101" s="52">
        <v>-2.1999999999999999E-2</v>
      </c>
      <c r="M101" s="36" t="s">
        <v>170</v>
      </c>
      <c r="N101" s="52">
        <v>-4.82E-2</v>
      </c>
    </row>
    <row r="102" spans="2:14" x14ac:dyDescent="0.45">
      <c r="B102" s="56" t="s">
        <v>171</v>
      </c>
      <c r="C102" s="36">
        <v>2.976</v>
      </c>
      <c r="D102" s="36">
        <v>2.839</v>
      </c>
      <c r="E102" s="36">
        <v>2.9980000000000002</v>
      </c>
      <c r="F102" s="36">
        <v>2.7589999999999999</v>
      </c>
      <c r="G102" s="52">
        <v>4.7E-2</v>
      </c>
      <c r="K102" s="56" t="s">
        <v>172</v>
      </c>
      <c r="L102" s="52">
        <v>-5.8200000000000002E-2</v>
      </c>
      <c r="M102" s="36" t="s">
        <v>172</v>
      </c>
      <c r="N102" s="52">
        <v>-2.3800000000000002E-2</v>
      </c>
    </row>
    <row r="103" spans="2:14" x14ac:dyDescent="0.45">
      <c r="B103" s="58">
        <v>44750</v>
      </c>
      <c r="C103" s="36">
        <v>2.8420000000000001</v>
      </c>
      <c r="D103" s="36">
        <v>2.8340000000000001</v>
      </c>
      <c r="E103" s="36">
        <v>2.9060000000000001</v>
      </c>
      <c r="F103" s="36">
        <v>2.6739999999999999</v>
      </c>
      <c r="G103" s="52">
        <v>5.4000000000000003E-3</v>
      </c>
      <c r="K103" s="56" t="s">
        <v>173</v>
      </c>
      <c r="L103" s="52">
        <v>2.98E-2</v>
      </c>
      <c r="M103" s="36" t="s">
        <v>173</v>
      </c>
      <c r="N103" s="52">
        <v>2.7099999999999999E-2</v>
      </c>
    </row>
    <row r="104" spans="2:14" x14ac:dyDescent="0.45">
      <c r="B104" s="56" t="s">
        <v>174</v>
      </c>
      <c r="C104" s="36">
        <v>2.827</v>
      </c>
      <c r="D104" s="36">
        <v>2.669</v>
      </c>
      <c r="E104" s="36">
        <v>2.8690000000000002</v>
      </c>
      <c r="F104" s="36">
        <v>2.516</v>
      </c>
      <c r="G104" s="52">
        <v>6.3600000000000004E-2</v>
      </c>
      <c r="K104" s="56" t="s">
        <v>175</v>
      </c>
      <c r="L104" s="52">
        <v>1.8499999999999999E-2</v>
      </c>
      <c r="M104" s="36" t="s">
        <v>175</v>
      </c>
      <c r="N104" s="52">
        <v>2.01E-2</v>
      </c>
    </row>
    <row r="105" spans="2:14" x14ac:dyDescent="0.45">
      <c r="B105" s="56" t="s">
        <v>176</v>
      </c>
      <c r="C105" s="36">
        <v>2.6579999999999999</v>
      </c>
      <c r="D105" s="36">
        <v>2.7829999999999999</v>
      </c>
      <c r="E105" s="36">
        <v>2.8450000000000002</v>
      </c>
      <c r="F105" s="36">
        <v>2.6179999999999999</v>
      </c>
      <c r="G105" s="52">
        <v>-3.5000000000000003E-2</v>
      </c>
      <c r="K105" s="56" t="s">
        <v>177</v>
      </c>
      <c r="L105" s="52">
        <v>8.7099999999999997E-2</v>
      </c>
      <c r="M105" s="36" t="s">
        <v>177</v>
      </c>
      <c r="N105" s="52">
        <v>4.4499999999999998E-2</v>
      </c>
    </row>
    <row r="106" spans="2:14" x14ac:dyDescent="0.45">
      <c r="B106" s="56" t="s">
        <v>178</v>
      </c>
      <c r="C106" s="36">
        <v>2.754</v>
      </c>
      <c r="D106" s="36">
        <v>2.919</v>
      </c>
      <c r="E106" s="36">
        <v>3.0830000000000002</v>
      </c>
      <c r="F106" s="36">
        <v>2.7320000000000002</v>
      </c>
      <c r="G106" s="52">
        <v>-5.9499999999999997E-2</v>
      </c>
      <c r="K106" s="56" t="s">
        <v>179</v>
      </c>
      <c r="L106" s="52">
        <v>7.5499999999999998E-2</v>
      </c>
      <c r="M106" s="36" t="s">
        <v>179</v>
      </c>
      <c r="N106" s="52">
        <v>3.4500000000000003E-2</v>
      </c>
    </row>
    <row r="107" spans="2:14" x14ac:dyDescent="0.45">
      <c r="B107" s="58">
        <v>44841</v>
      </c>
      <c r="C107" s="36">
        <v>2.9279999999999999</v>
      </c>
      <c r="D107" s="36">
        <v>3.097</v>
      </c>
      <c r="E107" s="36">
        <v>3.1030000000000002</v>
      </c>
      <c r="F107" s="36">
        <v>2.899</v>
      </c>
      <c r="G107" s="52">
        <v>-4.9399999999999999E-2</v>
      </c>
      <c r="K107" s="56" t="s">
        <v>180</v>
      </c>
      <c r="L107" s="52">
        <v>-1.0200000000000001E-2</v>
      </c>
      <c r="M107" s="36" t="s">
        <v>180</v>
      </c>
      <c r="N107" s="52">
        <v>-1.17E-2</v>
      </c>
    </row>
    <row r="108" spans="2:14" x14ac:dyDescent="0.45">
      <c r="B108" s="58">
        <v>44627</v>
      </c>
      <c r="C108" s="36">
        <v>3.08</v>
      </c>
      <c r="D108" s="36">
        <v>2.93</v>
      </c>
      <c r="E108" s="36">
        <v>3.101</v>
      </c>
      <c r="F108" s="36">
        <v>2.746</v>
      </c>
      <c r="G108" s="52">
        <v>6.6100000000000006E-2</v>
      </c>
      <c r="K108" s="56" t="s">
        <v>181</v>
      </c>
      <c r="L108" s="52">
        <v>5.4100000000000002E-2</v>
      </c>
      <c r="M108" s="36" t="s">
        <v>181</v>
      </c>
      <c r="N108" s="52">
        <v>4.6600000000000003E-2</v>
      </c>
    </row>
    <row r="109" spans="2:14" x14ac:dyDescent="0.45">
      <c r="B109" s="56" t="s">
        <v>182</v>
      </c>
      <c r="C109" s="36">
        <v>2.8889999999999998</v>
      </c>
      <c r="D109" s="36">
        <v>3.1339999999999999</v>
      </c>
      <c r="E109" s="36">
        <v>3.2589999999999999</v>
      </c>
      <c r="F109" s="36">
        <v>2.7909999999999999</v>
      </c>
      <c r="G109" s="52">
        <v>-7.9100000000000004E-2</v>
      </c>
      <c r="K109" s="56" t="s">
        <v>183</v>
      </c>
      <c r="L109" s="52">
        <v>-5.1200000000000002E-2</v>
      </c>
      <c r="M109" s="36" t="s">
        <v>183</v>
      </c>
      <c r="N109" s="52">
        <v>-4.2999999999999997E-2</v>
      </c>
    </row>
    <row r="110" spans="2:14" x14ac:dyDescent="0.45">
      <c r="B110" s="56" t="s">
        <v>184</v>
      </c>
      <c r="C110" s="36">
        <v>3.1379999999999999</v>
      </c>
      <c r="D110" s="36">
        <v>3.2749999999999999</v>
      </c>
      <c r="E110" s="36">
        <v>3.3170000000000002</v>
      </c>
      <c r="F110" s="36">
        <v>3.0049999999999999</v>
      </c>
      <c r="G110" s="52">
        <v>-2.9000000000000001E-2</v>
      </c>
      <c r="K110" s="56" t="s">
        <v>185</v>
      </c>
      <c r="L110" s="52">
        <v>7.1900000000000006E-2</v>
      </c>
      <c r="M110" s="36" t="s">
        <v>185</v>
      </c>
      <c r="N110" s="52">
        <v>7.4499999999999997E-2</v>
      </c>
    </row>
    <row r="111" spans="2:14" x14ac:dyDescent="0.45">
      <c r="B111" s="58">
        <v>44901</v>
      </c>
      <c r="C111" s="36">
        <v>3.2309999999999999</v>
      </c>
      <c r="D111" s="36">
        <v>3.1720000000000002</v>
      </c>
      <c r="E111" s="36">
        <v>3.4980000000000002</v>
      </c>
      <c r="F111" s="36">
        <v>3.1549999999999998</v>
      </c>
      <c r="G111" s="52">
        <v>2.1000000000000001E-2</v>
      </c>
      <c r="K111" s="56" t="s">
        <v>186</v>
      </c>
      <c r="L111" s="52">
        <v>-3.0200000000000001E-2</v>
      </c>
      <c r="M111" s="36" t="s">
        <v>186</v>
      </c>
      <c r="N111" s="52">
        <v>-4.7899999999999998E-2</v>
      </c>
    </row>
    <row r="112" spans="2:14" x14ac:dyDescent="0.45">
      <c r="B112" s="58">
        <v>44687</v>
      </c>
      <c r="C112" s="36">
        <v>3.165</v>
      </c>
      <c r="D112" s="36">
        <v>2.9350000000000001</v>
      </c>
      <c r="E112" s="36">
        <v>3.1779999999999999</v>
      </c>
      <c r="F112" s="36">
        <v>2.9329999999999998</v>
      </c>
      <c r="G112" s="52">
        <v>7.6300000000000007E-2</v>
      </c>
      <c r="K112" s="56" t="s">
        <v>187</v>
      </c>
      <c r="L112" s="52">
        <v>-6.8000000000000005E-2</v>
      </c>
      <c r="M112" s="36" t="s">
        <v>187</v>
      </c>
      <c r="N112" s="52">
        <v>-5.7000000000000002E-2</v>
      </c>
    </row>
    <row r="113" spans="2:14" x14ac:dyDescent="0.45">
      <c r="B113" s="56" t="s">
        <v>188</v>
      </c>
      <c r="C113" s="36">
        <v>2.9409999999999998</v>
      </c>
      <c r="D113" s="36">
        <v>2.81</v>
      </c>
      <c r="E113" s="36">
        <v>2.9860000000000002</v>
      </c>
      <c r="F113" s="36">
        <v>2.7989999999999999</v>
      </c>
      <c r="G113" s="52">
        <v>7.1900000000000006E-2</v>
      </c>
      <c r="K113" s="56" t="s">
        <v>189</v>
      </c>
      <c r="L113" s="52">
        <v>1.46E-2</v>
      </c>
      <c r="M113" s="36" t="s">
        <v>189</v>
      </c>
      <c r="N113" s="52">
        <v>-1.0500000000000001E-2</v>
      </c>
    </row>
    <row r="114" spans="2:14" x14ac:dyDescent="0.45">
      <c r="B114" s="56" t="s">
        <v>190</v>
      </c>
      <c r="C114" s="36">
        <v>2.7429999999999999</v>
      </c>
      <c r="D114" s="36">
        <v>2.806</v>
      </c>
      <c r="E114" s="36">
        <v>2.8730000000000002</v>
      </c>
      <c r="F114" s="36">
        <v>2.706</v>
      </c>
      <c r="G114" s="52">
        <v>-1.6199999999999999E-2</v>
      </c>
      <c r="K114" s="56" t="s">
        <v>191</v>
      </c>
      <c r="L114" s="52">
        <v>5.2900000000000003E-2</v>
      </c>
      <c r="M114" s="36" t="s">
        <v>191</v>
      </c>
      <c r="N114" s="52">
        <v>7.1499999999999994E-2</v>
      </c>
    </row>
    <row r="115" spans="2:14" x14ac:dyDescent="0.45">
      <c r="B115" s="56" t="s">
        <v>192</v>
      </c>
      <c r="C115" s="36">
        <v>2.7879999999999998</v>
      </c>
      <c r="D115" s="36">
        <v>2.94</v>
      </c>
      <c r="E115" s="36">
        <v>3.0150000000000001</v>
      </c>
      <c r="F115" s="36">
        <v>2.7719999999999998</v>
      </c>
      <c r="G115" s="52">
        <v>-4.7600000000000003E-2</v>
      </c>
      <c r="K115" s="56" t="s">
        <v>193</v>
      </c>
      <c r="L115" s="52">
        <v>0.1113</v>
      </c>
      <c r="M115" s="36" t="s">
        <v>193</v>
      </c>
      <c r="N115" s="52">
        <v>-4.4499999999999998E-2</v>
      </c>
    </row>
    <row r="116" spans="2:14" x14ac:dyDescent="0.45">
      <c r="B116" s="58">
        <v>44778</v>
      </c>
      <c r="C116" s="36">
        <v>2.9279999999999999</v>
      </c>
      <c r="D116" s="36">
        <v>3.1419999999999999</v>
      </c>
      <c r="E116" s="36">
        <v>3.2029999999999998</v>
      </c>
      <c r="F116" s="36">
        <v>2.8159999999999998</v>
      </c>
      <c r="G116" s="52">
        <v>-6.8400000000000002E-2</v>
      </c>
      <c r="K116" s="56" t="s">
        <v>194</v>
      </c>
      <c r="L116" s="52">
        <v>4.7000000000000002E-3</v>
      </c>
      <c r="M116" s="36" t="s">
        <v>194</v>
      </c>
      <c r="N116" s="52">
        <v>-2.41E-2</v>
      </c>
    </row>
    <row r="117" spans="2:14" x14ac:dyDescent="0.45">
      <c r="B117" s="58">
        <v>44566</v>
      </c>
      <c r="C117" s="36">
        <v>3.1419999999999999</v>
      </c>
      <c r="D117" s="36">
        <v>2.9319999999999999</v>
      </c>
      <c r="E117" s="36">
        <v>3.1459999999999999</v>
      </c>
      <c r="F117" s="36">
        <v>2.9009999999999998</v>
      </c>
      <c r="G117" s="52">
        <v>6.9800000000000001E-2</v>
      </c>
      <c r="K117" s="56" t="s">
        <v>195</v>
      </c>
      <c r="L117" s="52">
        <v>-4.2099999999999999E-2</v>
      </c>
      <c r="M117" s="36" t="s">
        <v>195</v>
      </c>
      <c r="N117" s="52">
        <v>-1.2500000000000001E-2</v>
      </c>
    </row>
    <row r="118" spans="2:14" x14ac:dyDescent="0.45">
      <c r="B118" s="56" t="s">
        <v>196</v>
      </c>
      <c r="C118" s="36">
        <v>2.9380000000000002</v>
      </c>
      <c r="D118" s="36">
        <v>2.8889999999999998</v>
      </c>
      <c r="E118" s="36">
        <v>2.9430000000000001</v>
      </c>
      <c r="F118" s="36">
        <v>2.7149999999999999</v>
      </c>
      <c r="G118" s="52">
        <v>1.14E-2</v>
      </c>
      <c r="K118" s="56" t="s">
        <v>197</v>
      </c>
      <c r="L118" s="52">
        <v>6.3E-3</v>
      </c>
      <c r="M118" s="36" t="s">
        <v>197</v>
      </c>
      <c r="N118" s="52">
        <v>-3.7600000000000001E-2</v>
      </c>
    </row>
    <row r="119" spans="2:14" x14ac:dyDescent="0.45">
      <c r="B119" s="56" t="s">
        <v>198</v>
      </c>
      <c r="C119" s="36">
        <v>2.9049999999999998</v>
      </c>
      <c r="D119" s="36">
        <v>2.847</v>
      </c>
      <c r="E119" s="36">
        <v>2.9809999999999999</v>
      </c>
      <c r="F119" s="36">
        <v>2.81</v>
      </c>
      <c r="G119" s="52">
        <v>2.7199999999999998E-2</v>
      </c>
      <c r="K119" s="56" t="s">
        <v>199</v>
      </c>
      <c r="L119" s="52">
        <v>-3.3099999999999997E-2</v>
      </c>
      <c r="M119" s="36" t="s">
        <v>199</v>
      </c>
      <c r="N119" s="52">
        <v>-3.8600000000000002E-2</v>
      </c>
    </row>
    <row r="120" spans="2:14" x14ac:dyDescent="0.45">
      <c r="B120" s="58">
        <v>44838</v>
      </c>
      <c r="C120" s="36">
        <v>2.8279999999999998</v>
      </c>
      <c r="D120" s="36">
        <v>2.7229999999999999</v>
      </c>
      <c r="E120" s="36">
        <v>2.8359999999999999</v>
      </c>
      <c r="F120" s="36">
        <v>2.6459999999999999</v>
      </c>
      <c r="G120" s="52">
        <v>4.58E-2</v>
      </c>
      <c r="K120" s="56" t="s">
        <v>200</v>
      </c>
      <c r="L120" s="52">
        <v>-7.8399999999999997E-2</v>
      </c>
      <c r="M120" s="36" t="s">
        <v>200</v>
      </c>
      <c r="N120" s="52">
        <v>-3.0300000000000001E-2</v>
      </c>
    </row>
    <row r="121" spans="2:14" x14ac:dyDescent="0.45">
      <c r="B121" s="58">
        <v>44624</v>
      </c>
      <c r="C121" s="36">
        <v>2.7040000000000002</v>
      </c>
      <c r="D121" s="36">
        <v>2.4079999999999999</v>
      </c>
      <c r="E121" s="36">
        <v>2.73</v>
      </c>
      <c r="F121" s="36">
        <v>2.3690000000000002</v>
      </c>
      <c r="G121" s="52">
        <v>0.13150000000000001</v>
      </c>
      <c r="K121" s="56" t="s">
        <v>201</v>
      </c>
      <c r="L121" s="52">
        <v>-4.5199999999999997E-2</v>
      </c>
      <c r="M121" s="36" t="s">
        <v>201</v>
      </c>
      <c r="N121" s="52">
        <v>-3.5900000000000001E-2</v>
      </c>
    </row>
    <row r="122" spans="2:14" x14ac:dyDescent="0.45">
      <c r="B122" s="56" t="s">
        <v>202</v>
      </c>
      <c r="C122" s="36">
        <v>2.3889999999999998</v>
      </c>
      <c r="D122" s="36">
        <v>2.4729999999999999</v>
      </c>
      <c r="E122" s="36">
        <v>2.5569999999999999</v>
      </c>
      <c r="F122" s="36">
        <v>2.3090000000000002</v>
      </c>
      <c r="G122" s="52">
        <v>-3.9600000000000003E-2</v>
      </c>
      <c r="K122" s="56" t="s">
        <v>203</v>
      </c>
      <c r="L122" s="52">
        <v>5.04E-2</v>
      </c>
      <c r="M122" s="36" t="s">
        <v>203</v>
      </c>
      <c r="N122" s="52">
        <v>7.1999999999999998E-3</v>
      </c>
    </row>
    <row r="123" spans="2:14" x14ac:dyDescent="0.45">
      <c r="B123" s="56" t="s">
        <v>204</v>
      </c>
      <c r="C123" s="36">
        <v>2.488</v>
      </c>
      <c r="D123" s="36">
        <v>2.149</v>
      </c>
      <c r="E123" s="36">
        <v>2.5030000000000001</v>
      </c>
      <c r="F123" s="36">
        <v>2.1480000000000001</v>
      </c>
      <c r="G123" s="52">
        <v>0.15559999999999999</v>
      </c>
      <c r="K123" s="56" t="s">
        <v>205</v>
      </c>
      <c r="L123" s="52">
        <v>2.2000000000000001E-3</v>
      </c>
      <c r="M123" s="36" t="s">
        <v>205</v>
      </c>
      <c r="N123" s="52">
        <v>2.3199999999999998E-2</v>
      </c>
    </row>
    <row r="124" spans="2:14" x14ac:dyDescent="0.45">
      <c r="B124" s="56" t="s">
        <v>206</v>
      </c>
      <c r="C124" s="36">
        <v>2.153</v>
      </c>
      <c r="D124" s="36">
        <v>2.0339999999999998</v>
      </c>
      <c r="E124" s="36">
        <v>2.246</v>
      </c>
      <c r="F124" s="36">
        <v>2.0249999999999999</v>
      </c>
      <c r="G124" s="52">
        <v>7.8100000000000003E-2</v>
      </c>
      <c r="K124" s="56" t="s">
        <v>207</v>
      </c>
      <c r="L124" s="52">
        <v>8.3500000000000005E-2</v>
      </c>
      <c r="M124" s="36" t="s">
        <v>207</v>
      </c>
      <c r="N124" s="52">
        <v>8.4099999999999994E-2</v>
      </c>
    </row>
    <row r="125" spans="2:14" x14ac:dyDescent="0.45">
      <c r="B125" s="58">
        <v>44715</v>
      </c>
      <c r="C125" s="36">
        <v>1.9970000000000001</v>
      </c>
      <c r="D125" s="36">
        <v>1.6830000000000001</v>
      </c>
      <c r="E125" s="36">
        <v>2.0219999999999998</v>
      </c>
      <c r="F125" s="36">
        <v>1.6679999999999999</v>
      </c>
      <c r="G125" s="52">
        <v>0.14940000000000001</v>
      </c>
      <c r="K125" s="56" t="s">
        <v>208</v>
      </c>
      <c r="L125" s="52">
        <v>-4.9700000000000001E-2</v>
      </c>
      <c r="M125" s="36" t="s">
        <v>208</v>
      </c>
      <c r="N125" s="52">
        <v>-3.8699999999999998E-2</v>
      </c>
    </row>
    <row r="126" spans="2:14" x14ac:dyDescent="0.45">
      <c r="B126" s="56" t="s">
        <v>209</v>
      </c>
      <c r="C126" s="36">
        <v>1.7370000000000001</v>
      </c>
      <c r="D126" s="36">
        <v>1.8919999999999999</v>
      </c>
      <c r="E126" s="36">
        <v>1.927</v>
      </c>
      <c r="F126" s="36">
        <v>1.6819999999999999</v>
      </c>
      <c r="G126" s="52">
        <v>-0.1182</v>
      </c>
      <c r="K126" s="56" t="s">
        <v>210</v>
      </c>
      <c r="L126" s="52">
        <v>-6.7000000000000002E-3</v>
      </c>
      <c r="M126" s="36" t="s">
        <v>210</v>
      </c>
      <c r="N126" s="52">
        <v>-2.4799999999999999E-2</v>
      </c>
    </row>
    <row r="127" spans="2:14" x14ac:dyDescent="0.45">
      <c r="B127" s="56" t="s">
        <v>211</v>
      </c>
      <c r="C127" s="36">
        <v>1.97</v>
      </c>
      <c r="D127" s="36">
        <v>1.875</v>
      </c>
      <c r="E127" s="36">
        <v>2.016</v>
      </c>
      <c r="F127" s="36">
        <v>1.8460000000000001</v>
      </c>
      <c r="G127" s="52">
        <v>2.2599999999999999E-2</v>
      </c>
      <c r="K127" s="56" t="s">
        <v>212</v>
      </c>
      <c r="L127" s="52">
        <v>8.1799999999999998E-2</v>
      </c>
      <c r="M127" s="36" t="s">
        <v>212</v>
      </c>
      <c r="N127" s="52">
        <v>1.2800000000000001E-2</v>
      </c>
    </row>
    <row r="128" spans="2:14" x14ac:dyDescent="0.45">
      <c r="B128" s="56" t="s">
        <v>213</v>
      </c>
      <c r="C128" s="36">
        <v>1.927</v>
      </c>
      <c r="D128" s="36">
        <v>1.9670000000000001</v>
      </c>
      <c r="E128" s="36">
        <v>2.0649999999999999</v>
      </c>
      <c r="F128" s="36">
        <v>1.903</v>
      </c>
      <c r="G128" s="52">
        <v>4.4999999999999997E-3</v>
      </c>
      <c r="K128" s="56" t="s">
        <v>214</v>
      </c>
      <c r="L128" s="52">
        <v>-2.5899999999999999E-2</v>
      </c>
      <c r="M128" s="36" t="s">
        <v>214</v>
      </c>
      <c r="N128" s="52">
        <v>-1.7100000000000001E-2</v>
      </c>
    </row>
    <row r="129" spans="2:14" x14ac:dyDescent="0.45">
      <c r="B129" s="58">
        <v>44714</v>
      </c>
      <c r="C129" s="36">
        <v>1.9179999999999999</v>
      </c>
      <c r="D129" s="36">
        <v>1.9079999999999999</v>
      </c>
      <c r="E129" s="36">
        <v>2.0630000000000002</v>
      </c>
      <c r="F129" s="36">
        <v>1.8959999999999999</v>
      </c>
      <c r="G129" s="52">
        <v>1.2999999999999999E-3</v>
      </c>
      <c r="K129" s="56" t="s">
        <v>215</v>
      </c>
      <c r="L129" s="52">
        <v>-4.3999999999999997E-2</v>
      </c>
      <c r="M129" s="36" t="s">
        <v>215</v>
      </c>
      <c r="N129" s="52">
        <v>-0.03</v>
      </c>
    </row>
    <row r="130" spans="2:14" x14ac:dyDescent="0.45">
      <c r="B130" s="56" t="s">
        <v>216</v>
      </c>
      <c r="C130" s="36">
        <v>1.9159999999999999</v>
      </c>
      <c r="D130" s="36">
        <v>1.7889999999999999</v>
      </c>
      <c r="E130" s="36">
        <v>1.9359999999999999</v>
      </c>
      <c r="F130" s="36">
        <v>1.7390000000000001</v>
      </c>
      <c r="G130" s="52">
        <v>7.7200000000000005E-2</v>
      </c>
      <c r="K130" s="56" t="s">
        <v>217</v>
      </c>
      <c r="L130" s="52">
        <v>4.2299999999999997E-2</v>
      </c>
      <c r="M130" s="36" t="s">
        <v>217</v>
      </c>
      <c r="N130" s="52">
        <v>1.66E-2</v>
      </c>
    </row>
    <row r="131" spans="2:14" x14ac:dyDescent="0.45">
      <c r="B131" s="56" t="s">
        <v>218</v>
      </c>
      <c r="C131" s="36">
        <v>1.778</v>
      </c>
      <c r="D131" s="36">
        <v>1.772</v>
      </c>
      <c r="E131" s="36">
        <v>1.88</v>
      </c>
      <c r="F131" s="36">
        <v>1.7070000000000001</v>
      </c>
      <c r="G131" s="52">
        <v>4.4999999999999997E-3</v>
      </c>
      <c r="K131" s="56" t="s">
        <v>219</v>
      </c>
      <c r="L131" s="52">
        <v>-2.29E-2</v>
      </c>
      <c r="M131" s="36" t="s">
        <v>219</v>
      </c>
      <c r="N131" s="52">
        <v>1.1000000000000001E-3</v>
      </c>
    </row>
    <row r="132" spans="2:14" x14ac:dyDescent="0.45">
      <c r="B132" s="56" t="s">
        <v>220</v>
      </c>
      <c r="C132" s="36">
        <v>1.77</v>
      </c>
      <c r="D132" s="36">
        <v>1.8069999999999999</v>
      </c>
      <c r="E132" s="36">
        <v>1.9019999999999999</v>
      </c>
      <c r="F132" s="36">
        <v>1.7330000000000001</v>
      </c>
      <c r="G132" s="52">
        <v>-1.2500000000000001E-2</v>
      </c>
      <c r="K132" s="56" t="s">
        <v>221</v>
      </c>
      <c r="L132" s="52">
        <v>-7.0099999999999996E-2</v>
      </c>
      <c r="M132" s="36" t="s">
        <v>221</v>
      </c>
      <c r="N132" s="52">
        <v>-7.51E-2</v>
      </c>
    </row>
    <row r="133" spans="2:14" x14ac:dyDescent="0.45">
      <c r="B133" s="58">
        <v>44805</v>
      </c>
      <c r="C133" s="36">
        <v>1.7929999999999999</v>
      </c>
      <c r="D133" s="36">
        <v>1.7669999999999999</v>
      </c>
      <c r="E133" s="36">
        <v>1.8080000000000001</v>
      </c>
      <c r="F133" s="36">
        <v>1.694</v>
      </c>
      <c r="G133" s="52">
        <v>1.5599999999999999E-2</v>
      </c>
      <c r="K133" s="56" t="s">
        <v>222</v>
      </c>
      <c r="L133" s="52">
        <v>-1.2699999999999999E-2</v>
      </c>
      <c r="M133" s="36" t="s">
        <v>222</v>
      </c>
      <c r="N133" s="52">
        <v>1.1999999999999999E-3</v>
      </c>
    </row>
    <row r="134" spans="2:14" x14ac:dyDescent="0.45">
      <c r="B134" s="58">
        <v>44593</v>
      </c>
      <c r="C134" s="36">
        <v>1.7649999999999999</v>
      </c>
      <c r="D134" s="36">
        <v>1.5309999999999999</v>
      </c>
      <c r="E134" s="36">
        <v>1.8009999999999999</v>
      </c>
      <c r="F134" s="36">
        <v>1.5289999999999999</v>
      </c>
      <c r="G134" s="52">
        <v>0.1678</v>
      </c>
      <c r="K134" s="56" t="s">
        <v>223</v>
      </c>
      <c r="L134" s="52">
        <v>-0.10349999999999999</v>
      </c>
      <c r="M134" s="36" t="s">
        <v>223</v>
      </c>
      <c r="N134" s="52">
        <v>-4.4600000000000001E-2</v>
      </c>
    </row>
    <row r="135" spans="2:14" x14ac:dyDescent="0.45">
      <c r="B135" s="56" t="s">
        <v>224</v>
      </c>
      <c r="C135" s="36">
        <v>1.512</v>
      </c>
      <c r="D135" s="36">
        <v>1.486</v>
      </c>
      <c r="E135" s="36">
        <v>1.56</v>
      </c>
      <c r="F135" s="36">
        <v>1.4550000000000001</v>
      </c>
      <c r="G135" s="52">
        <v>1.29E-2</v>
      </c>
      <c r="K135" s="56" t="s">
        <v>225</v>
      </c>
      <c r="L135" s="52">
        <v>6.4000000000000003E-3</v>
      </c>
      <c r="M135" s="36" t="s">
        <v>225</v>
      </c>
      <c r="N135" s="52">
        <v>6.9999999999999999E-4</v>
      </c>
    </row>
    <row r="136" spans="2:14" x14ac:dyDescent="0.45">
      <c r="B136" s="56" t="s">
        <v>226</v>
      </c>
      <c r="C136" s="36">
        <v>1.4930000000000001</v>
      </c>
      <c r="D136" s="36">
        <v>1.375</v>
      </c>
      <c r="E136" s="36">
        <v>1.5009999999999999</v>
      </c>
      <c r="F136" s="36">
        <v>1.353</v>
      </c>
      <c r="G136" s="52">
        <v>6.0699999999999997E-2</v>
      </c>
      <c r="K136" s="56" t="s">
        <v>227</v>
      </c>
      <c r="L136" s="52">
        <v>5.1999999999999998E-2</v>
      </c>
      <c r="M136" s="36" t="s">
        <v>227</v>
      </c>
      <c r="N136" s="52">
        <v>3.2099999999999997E-2</v>
      </c>
    </row>
    <row r="137" spans="2:14" x14ac:dyDescent="0.45">
      <c r="B137" s="58">
        <v>44542</v>
      </c>
      <c r="C137" s="36">
        <v>1.407</v>
      </c>
      <c r="D137" s="36">
        <v>1.494</v>
      </c>
      <c r="E137" s="36">
        <v>1.508</v>
      </c>
      <c r="F137" s="36">
        <v>1.3720000000000001</v>
      </c>
      <c r="G137" s="52">
        <v>-5.0500000000000003E-2</v>
      </c>
      <c r="K137" s="56" t="s">
        <v>228</v>
      </c>
      <c r="L137" s="52">
        <v>-3.95E-2</v>
      </c>
      <c r="M137" s="36" t="s">
        <v>228</v>
      </c>
      <c r="N137" s="52">
        <v>-3.2500000000000001E-2</v>
      </c>
    </row>
    <row r="138" spans="2:14" x14ac:dyDescent="0.45">
      <c r="B138" s="58">
        <v>44328</v>
      </c>
      <c r="C138" s="36">
        <v>1.482</v>
      </c>
      <c r="D138" s="36">
        <v>1.3779999999999999</v>
      </c>
      <c r="E138" s="36">
        <v>1.5369999999999999</v>
      </c>
      <c r="F138" s="36">
        <v>1.37</v>
      </c>
      <c r="G138" s="52">
        <v>9.2600000000000002E-2</v>
      </c>
      <c r="K138" s="56" t="s">
        <v>229</v>
      </c>
      <c r="L138" s="52">
        <v>5.16E-2</v>
      </c>
      <c r="M138" s="36" t="s">
        <v>229</v>
      </c>
      <c r="N138" s="52">
        <v>3.95E-2</v>
      </c>
    </row>
    <row r="139" spans="2:14" x14ac:dyDescent="0.45">
      <c r="B139" s="56" t="s">
        <v>230</v>
      </c>
      <c r="C139" s="36">
        <v>1.3560000000000001</v>
      </c>
      <c r="D139" s="36">
        <v>1.5309999999999999</v>
      </c>
      <c r="E139" s="36">
        <v>1.5649999999999999</v>
      </c>
      <c r="F139" s="36">
        <v>1.335</v>
      </c>
      <c r="G139" s="52">
        <v>-8.4500000000000006E-2</v>
      </c>
      <c r="K139" s="56" t="s">
        <v>231</v>
      </c>
      <c r="L139" s="52">
        <v>7.0000000000000001E-3</v>
      </c>
      <c r="M139" s="36" t="s">
        <v>231</v>
      </c>
      <c r="N139" s="52">
        <v>-1.9599999999999999E-2</v>
      </c>
    </row>
    <row r="140" spans="2:14" x14ac:dyDescent="0.45">
      <c r="B140" s="56" t="s">
        <v>232</v>
      </c>
      <c r="C140" s="36">
        <v>1.482</v>
      </c>
      <c r="D140" s="36">
        <v>1.56</v>
      </c>
      <c r="E140" s="36">
        <v>1.6930000000000001</v>
      </c>
      <c r="F140" s="36">
        <v>1.4730000000000001</v>
      </c>
      <c r="G140" s="52">
        <v>-4.2799999999999998E-2</v>
      </c>
      <c r="K140" s="56" t="s">
        <v>233</v>
      </c>
      <c r="L140" s="52">
        <v>-4.41E-2</v>
      </c>
      <c r="M140" s="36" t="s">
        <v>233</v>
      </c>
      <c r="N140" s="52">
        <v>-3.3099999999999997E-2</v>
      </c>
    </row>
    <row r="141" spans="2:14" x14ac:dyDescent="0.45">
      <c r="B141" s="56" t="s">
        <v>234</v>
      </c>
      <c r="C141" s="36">
        <v>1.548</v>
      </c>
      <c r="D141" s="36">
        <v>1.575</v>
      </c>
      <c r="E141" s="36">
        <v>1.649</v>
      </c>
      <c r="F141" s="36">
        <v>1.5149999999999999</v>
      </c>
      <c r="G141" s="52">
        <v>-1.4E-2</v>
      </c>
      <c r="K141" s="56" t="s">
        <v>235</v>
      </c>
      <c r="L141" s="52">
        <v>3.15E-2</v>
      </c>
      <c r="M141" s="36" t="s">
        <v>235</v>
      </c>
      <c r="N141" s="52">
        <v>2.3099999999999999E-2</v>
      </c>
    </row>
    <row r="142" spans="2:14" x14ac:dyDescent="0.45">
      <c r="B142" s="58">
        <v>44388</v>
      </c>
      <c r="C142" s="36">
        <v>1.57</v>
      </c>
      <c r="D142" s="36">
        <v>1.464</v>
      </c>
      <c r="E142" s="36">
        <v>1.5920000000000001</v>
      </c>
      <c r="F142" s="36">
        <v>1.415</v>
      </c>
      <c r="G142" s="52">
        <v>7.9100000000000004E-2</v>
      </c>
      <c r="K142" s="56" t="s">
        <v>236</v>
      </c>
      <c r="L142" s="52">
        <v>1.84E-2</v>
      </c>
      <c r="M142" s="36" t="s">
        <v>236</v>
      </c>
      <c r="N142" s="52">
        <v>-9.7000000000000003E-3</v>
      </c>
    </row>
    <row r="143" spans="2:14" x14ac:dyDescent="0.45">
      <c r="B143" s="56" t="s">
        <v>237</v>
      </c>
      <c r="C143" s="36">
        <v>1.4550000000000001</v>
      </c>
      <c r="D143" s="36">
        <v>1.575</v>
      </c>
      <c r="E143" s="36">
        <v>1.609</v>
      </c>
      <c r="F143" s="36">
        <v>1.4359999999999999</v>
      </c>
      <c r="G143" s="52">
        <v>-6.8000000000000005E-2</v>
      </c>
      <c r="K143" s="56" t="s">
        <v>238</v>
      </c>
      <c r="L143" s="52">
        <v>2.2700000000000001E-2</v>
      </c>
      <c r="M143" s="36" t="s">
        <v>238</v>
      </c>
      <c r="N143" s="52">
        <v>3.2099999999999997E-2</v>
      </c>
    </row>
    <row r="144" spans="2:14" x14ac:dyDescent="0.45">
      <c r="B144" s="56" t="s">
        <v>239</v>
      </c>
      <c r="C144" s="36">
        <v>1.5609999999999999</v>
      </c>
      <c r="D144" s="36">
        <v>1.6479999999999999</v>
      </c>
      <c r="E144" s="36">
        <v>1.673</v>
      </c>
      <c r="F144" s="36">
        <v>1.52</v>
      </c>
      <c r="G144" s="52">
        <v>-4.6899999999999997E-2</v>
      </c>
      <c r="K144" s="56" t="s">
        <v>240</v>
      </c>
      <c r="L144" s="52">
        <v>3.7600000000000001E-2</v>
      </c>
      <c r="M144" s="36" t="s">
        <v>240</v>
      </c>
      <c r="N144" s="52">
        <v>3.2300000000000002E-2</v>
      </c>
    </row>
    <row r="145" spans="2:14" x14ac:dyDescent="0.45">
      <c r="B145" s="56" t="s">
        <v>241</v>
      </c>
      <c r="C145" s="36">
        <v>1.6379999999999999</v>
      </c>
      <c r="D145" s="36">
        <v>1.589</v>
      </c>
      <c r="E145" s="36">
        <v>1.7050000000000001</v>
      </c>
      <c r="F145" s="36">
        <v>1.5660000000000001</v>
      </c>
      <c r="G145" s="52">
        <v>4.0599999999999997E-2</v>
      </c>
      <c r="K145" s="56" t="s">
        <v>242</v>
      </c>
      <c r="L145" s="52">
        <v>4.8500000000000001E-2</v>
      </c>
      <c r="M145" s="36" t="s">
        <v>242</v>
      </c>
      <c r="N145" s="52">
        <v>1.37E-2</v>
      </c>
    </row>
    <row r="146" spans="2:14" x14ac:dyDescent="0.45">
      <c r="B146" s="58">
        <v>44479</v>
      </c>
      <c r="C146" s="36">
        <v>1.5740000000000001</v>
      </c>
      <c r="D146" s="36">
        <v>1.629</v>
      </c>
      <c r="E146" s="36">
        <v>1.631</v>
      </c>
      <c r="F146" s="36">
        <v>1.5069999999999999</v>
      </c>
      <c r="G146" s="52">
        <v>-2.3599999999999999E-2</v>
      </c>
      <c r="K146" s="56" t="s">
        <v>243</v>
      </c>
      <c r="L146" s="52">
        <v>5.0099999999999999E-2</v>
      </c>
      <c r="M146" s="36" t="s">
        <v>243</v>
      </c>
      <c r="N146" s="52">
        <v>2.1999999999999999E-2</v>
      </c>
    </row>
    <row r="147" spans="2:14" x14ac:dyDescent="0.45">
      <c r="B147" s="58">
        <v>44265</v>
      </c>
      <c r="C147" s="36">
        <v>1.6120000000000001</v>
      </c>
      <c r="D147" s="36">
        <v>1.46</v>
      </c>
      <c r="E147" s="36">
        <v>1.617</v>
      </c>
      <c r="F147" s="36">
        <v>1.4530000000000001</v>
      </c>
      <c r="G147" s="52">
        <v>0.1002</v>
      </c>
      <c r="K147" s="56" t="s">
        <v>244</v>
      </c>
      <c r="L147" s="52">
        <v>-3.5799999999999998E-2</v>
      </c>
      <c r="M147" s="36" t="s">
        <v>244</v>
      </c>
      <c r="N147" s="52">
        <v>2E-3</v>
      </c>
    </row>
    <row r="148" spans="2:14" x14ac:dyDescent="0.45">
      <c r="B148" s="56" t="s">
        <v>245</v>
      </c>
      <c r="C148" s="36">
        <v>1.4650000000000001</v>
      </c>
      <c r="D148" s="36">
        <v>1.4650000000000001</v>
      </c>
      <c r="E148" s="36">
        <v>1.5669999999999999</v>
      </c>
      <c r="F148" s="36">
        <v>1.4419999999999999</v>
      </c>
      <c r="G148" s="52">
        <v>8.5000000000000006E-3</v>
      </c>
      <c r="K148" s="56" t="s">
        <v>246</v>
      </c>
      <c r="L148" s="52">
        <v>-6.0400000000000002E-2</v>
      </c>
      <c r="M148" s="36" t="s">
        <v>246</v>
      </c>
      <c r="N148" s="52">
        <v>-3.5099999999999999E-2</v>
      </c>
    </row>
    <row r="149" spans="2:14" x14ac:dyDescent="0.45">
      <c r="B149" s="56" t="s">
        <v>247</v>
      </c>
      <c r="C149" s="36">
        <v>1.4530000000000001</v>
      </c>
      <c r="D149" s="36">
        <v>1.3620000000000001</v>
      </c>
      <c r="E149" s="36">
        <v>1.466</v>
      </c>
      <c r="F149" s="36">
        <v>1.296</v>
      </c>
      <c r="G149" s="52">
        <v>6.5500000000000003E-2</v>
      </c>
      <c r="K149" s="56" t="s">
        <v>248</v>
      </c>
      <c r="L149" s="52">
        <v>-1.11E-2</v>
      </c>
      <c r="M149" s="36" t="s">
        <v>248</v>
      </c>
      <c r="N149" s="52">
        <v>-2.0000000000000001E-4</v>
      </c>
    </row>
    <row r="150" spans="2:14" x14ac:dyDescent="0.45">
      <c r="B150" s="58">
        <v>44539</v>
      </c>
      <c r="C150" s="36">
        <v>1.363</v>
      </c>
      <c r="D150" s="36">
        <v>1.343</v>
      </c>
      <c r="E150" s="36">
        <v>1.385</v>
      </c>
      <c r="F150" s="36">
        <v>1.26</v>
      </c>
      <c r="G150" s="52">
        <v>1.5299999999999999E-2</v>
      </c>
      <c r="K150" s="56" t="s">
        <v>249</v>
      </c>
      <c r="L150" s="52">
        <v>-2.0899999999999998E-2</v>
      </c>
      <c r="M150" s="36" t="s">
        <v>249</v>
      </c>
      <c r="N150" s="52">
        <v>-6.8999999999999999E-3</v>
      </c>
    </row>
    <row r="151" spans="2:14" x14ac:dyDescent="0.45">
      <c r="B151" s="58">
        <v>44325</v>
      </c>
      <c r="C151" s="36">
        <v>1.343</v>
      </c>
      <c r="D151" s="36">
        <v>1.3360000000000001</v>
      </c>
      <c r="E151" s="36">
        <v>1.385</v>
      </c>
      <c r="F151" s="36">
        <v>1.2869999999999999</v>
      </c>
      <c r="G151" s="52">
        <v>1.29E-2</v>
      </c>
      <c r="K151" s="56" t="s">
        <v>250</v>
      </c>
      <c r="L151" s="52">
        <v>-1.23E-2</v>
      </c>
      <c r="M151" s="36" t="s">
        <v>250</v>
      </c>
      <c r="N151" s="52">
        <v>-1.3599999999999999E-2</v>
      </c>
    </row>
    <row r="152" spans="2:14" x14ac:dyDescent="0.45">
      <c r="B152" s="56" t="s">
        <v>251</v>
      </c>
      <c r="C152" s="36">
        <v>1.3260000000000001</v>
      </c>
      <c r="D152" s="36">
        <v>1.3069999999999999</v>
      </c>
      <c r="E152" s="36">
        <v>1.3360000000000001</v>
      </c>
      <c r="F152" s="36">
        <v>1.2669999999999999</v>
      </c>
      <c r="G152" s="52">
        <v>1.17E-2</v>
      </c>
      <c r="K152" s="56" t="s">
        <v>252</v>
      </c>
      <c r="L152" s="52">
        <v>1.46E-2</v>
      </c>
      <c r="M152" s="36" t="s">
        <v>252</v>
      </c>
      <c r="N152" s="52">
        <v>1.4200000000000001E-2</v>
      </c>
    </row>
    <row r="153" spans="2:14" x14ac:dyDescent="0.45">
      <c r="B153" s="56" t="s">
        <v>253</v>
      </c>
      <c r="C153" s="36">
        <v>1.31</v>
      </c>
      <c r="D153" s="36">
        <v>1.26</v>
      </c>
      <c r="E153" s="36">
        <v>1.375</v>
      </c>
      <c r="F153" s="36">
        <v>1.252</v>
      </c>
      <c r="G153" s="52">
        <v>4.41E-2</v>
      </c>
      <c r="K153" s="56" t="s">
        <v>254</v>
      </c>
      <c r="L153" s="52">
        <v>4.7100000000000003E-2</v>
      </c>
      <c r="M153" s="36" t="s">
        <v>254</v>
      </c>
      <c r="N153" s="52">
        <v>2.2599999999999999E-2</v>
      </c>
    </row>
    <row r="154" spans="2:14" x14ac:dyDescent="0.45">
      <c r="B154" s="56" t="s">
        <v>255</v>
      </c>
      <c r="C154" s="36">
        <v>1.2549999999999999</v>
      </c>
      <c r="D154" s="36">
        <v>1.2849999999999999</v>
      </c>
      <c r="E154" s="36">
        <v>1.3</v>
      </c>
      <c r="F154" s="36">
        <v>1.2170000000000001</v>
      </c>
      <c r="G154" s="52">
        <v>-2.2100000000000002E-2</v>
      </c>
      <c r="K154" s="56" t="s">
        <v>256</v>
      </c>
      <c r="L154" s="52">
        <v>8.1100000000000005E-2</v>
      </c>
      <c r="M154" s="36" t="s">
        <v>256</v>
      </c>
      <c r="N154" s="52">
        <v>-2.8999999999999998E-3</v>
      </c>
    </row>
    <row r="155" spans="2:14" x14ac:dyDescent="0.45">
      <c r="B155" s="58">
        <v>44416</v>
      </c>
      <c r="C155" s="36">
        <v>1.2829999999999999</v>
      </c>
      <c r="D155" s="36">
        <v>1.2969999999999999</v>
      </c>
      <c r="E155" s="36">
        <v>1.379</v>
      </c>
      <c r="F155" s="36">
        <v>1.268</v>
      </c>
      <c r="G155" s="52">
        <v>-1.6799999999999999E-2</v>
      </c>
      <c r="K155" s="56" t="s">
        <v>257</v>
      </c>
      <c r="L155" s="52">
        <v>2.3999999999999998E-3</v>
      </c>
      <c r="M155" s="36" t="s">
        <v>257</v>
      </c>
      <c r="N155" s="52">
        <v>1.8E-3</v>
      </c>
    </row>
    <row r="156" spans="2:14" x14ac:dyDescent="0.45">
      <c r="B156" s="58">
        <v>44204</v>
      </c>
      <c r="C156" s="36">
        <v>1.3049999999999999</v>
      </c>
      <c r="D156" s="36">
        <v>1.2370000000000001</v>
      </c>
      <c r="E156" s="36">
        <v>1.3049999999999999</v>
      </c>
      <c r="F156" s="36">
        <v>1.127</v>
      </c>
      <c r="G156" s="52">
        <v>6.5000000000000002E-2</v>
      </c>
      <c r="K156" s="56" t="s">
        <v>258</v>
      </c>
      <c r="L156" s="52">
        <v>1.54E-2</v>
      </c>
      <c r="M156" s="36" t="s">
        <v>258</v>
      </c>
      <c r="N156" s="52">
        <v>0.01</v>
      </c>
    </row>
    <row r="157" spans="2:14" x14ac:dyDescent="0.45">
      <c r="B157" s="56" t="s">
        <v>259</v>
      </c>
      <c r="C157" s="36">
        <v>1.226</v>
      </c>
      <c r="D157" s="36">
        <v>1.2829999999999999</v>
      </c>
      <c r="E157" s="36">
        <v>1.296</v>
      </c>
      <c r="F157" s="36">
        <v>1.2210000000000001</v>
      </c>
      <c r="G157" s="52">
        <v>-4.3499999999999997E-2</v>
      </c>
      <c r="K157" s="56" t="s">
        <v>260</v>
      </c>
      <c r="L157" s="52">
        <v>1.0200000000000001E-2</v>
      </c>
      <c r="M157" s="36" t="s">
        <v>260</v>
      </c>
      <c r="N157" s="52">
        <v>-1.01E-2</v>
      </c>
    </row>
    <row r="158" spans="2:14" x14ac:dyDescent="0.45">
      <c r="B158" s="56" t="s">
        <v>261</v>
      </c>
      <c r="C158" s="36">
        <v>1.2809999999999999</v>
      </c>
      <c r="D158" s="36">
        <v>1.27</v>
      </c>
      <c r="E158" s="36">
        <v>1.3169999999999999</v>
      </c>
      <c r="F158" s="36">
        <v>1.1279999999999999</v>
      </c>
      <c r="G158" s="52">
        <v>-1.46E-2</v>
      </c>
      <c r="K158" s="56" t="s">
        <v>262</v>
      </c>
      <c r="L158" s="52">
        <v>3.0800000000000001E-2</v>
      </c>
      <c r="M158" s="36" t="s">
        <v>262</v>
      </c>
      <c r="N158" s="52">
        <v>2.93E-2</v>
      </c>
    </row>
    <row r="159" spans="2:14" x14ac:dyDescent="0.45">
      <c r="B159" s="58">
        <v>44507</v>
      </c>
      <c r="C159" s="36">
        <v>1.3</v>
      </c>
      <c r="D159" s="36">
        <v>1.361</v>
      </c>
      <c r="E159" s="36">
        <v>1.423</v>
      </c>
      <c r="F159" s="36">
        <v>1.292</v>
      </c>
      <c r="G159" s="52">
        <v>-4.4699999999999997E-2</v>
      </c>
      <c r="K159" s="56" t="s">
        <v>263</v>
      </c>
      <c r="L159" s="52">
        <v>-1.49E-2</v>
      </c>
      <c r="M159" s="36" t="s">
        <v>263</v>
      </c>
      <c r="N159" s="52">
        <v>-9.7999999999999997E-3</v>
      </c>
    </row>
    <row r="160" spans="2:14" x14ac:dyDescent="0.45">
      <c r="B160" s="58">
        <v>44293</v>
      </c>
      <c r="C160" s="36">
        <v>1.361</v>
      </c>
      <c r="D160" s="36">
        <v>1.4390000000000001</v>
      </c>
      <c r="E160" s="36">
        <v>1.4490000000000001</v>
      </c>
      <c r="F160" s="36">
        <v>1.25</v>
      </c>
      <c r="G160" s="52">
        <v>-4.8500000000000001E-2</v>
      </c>
      <c r="K160" s="56" t="s">
        <v>264</v>
      </c>
      <c r="L160" s="52">
        <v>5.7000000000000002E-3</v>
      </c>
      <c r="M160" s="36" t="s">
        <v>264</v>
      </c>
      <c r="N160" s="52">
        <v>6.7000000000000002E-3</v>
      </c>
    </row>
    <row r="161" spans="2:14" x14ac:dyDescent="0.45">
      <c r="B161" s="56" t="s">
        <v>265</v>
      </c>
      <c r="C161" s="36">
        <v>1.431</v>
      </c>
      <c r="D161" s="36">
        <v>1.528</v>
      </c>
      <c r="E161" s="36">
        <v>1.534</v>
      </c>
      <c r="F161" s="36">
        <v>1.4259999999999999</v>
      </c>
      <c r="G161" s="52">
        <v>-6.13E-2</v>
      </c>
      <c r="K161" s="56" t="s">
        <v>266</v>
      </c>
      <c r="L161" s="52">
        <v>3.7900000000000003E-2</v>
      </c>
      <c r="M161" s="36" t="s">
        <v>266</v>
      </c>
      <c r="N161" s="52">
        <v>2.6700000000000002E-2</v>
      </c>
    </row>
    <row r="162" spans="2:14" x14ac:dyDescent="0.45">
      <c r="B162" s="56" t="s">
        <v>267</v>
      </c>
      <c r="C162" s="36">
        <v>1.524</v>
      </c>
      <c r="D162" s="36">
        <v>1.44</v>
      </c>
      <c r="E162" s="36">
        <v>1.544</v>
      </c>
      <c r="F162" s="36">
        <v>1.3540000000000001</v>
      </c>
      <c r="G162" s="52">
        <v>5.6099999999999997E-2</v>
      </c>
      <c r="K162" s="56" t="s">
        <v>268</v>
      </c>
      <c r="L162" s="52">
        <v>1.17E-2</v>
      </c>
      <c r="M162" s="36" t="s">
        <v>268</v>
      </c>
      <c r="N162" s="52">
        <v>2.1000000000000001E-2</v>
      </c>
    </row>
    <row r="163" spans="2:14" x14ac:dyDescent="0.45">
      <c r="B163" s="56" t="s">
        <v>269</v>
      </c>
      <c r="C163" s="36">
        <v>1.4430000000000001</v>
      </c>
      <c r="D163" s="36">
        <v>1.462</v>
      </c>
      <c r="E163" s="36">
        <v>1.5940000000000001</v>
      </c>
      <c r="F163" s="36">
        <v>1.4379999999999999</v>
      </c>
      <c r="G163" s="52">
        <v>-7.1999999999999998E-3</v>
      </c>
      <c r="K163" s="56" t="s">
        <v>270</v>
      </c>
      <c r="L163" s="52">
        <v>1.06E-2</v>
      </c>
      <c r="M163" s="36" t="s">
        <v>270</v>
      </c>
      <c r="N163" s="52">
        <v>3.7000000000000002E-3</v>
      </c>
    </row>
    <row r="164" spans="2:14" x14ac:dyDescent="0.45">
      <c r="B164" s="58">
        <v>44353</v>
      </c>
      <c r="C164" s="36">
        <v>1.454</v>
      </c>
      <c r="D164" s="36">
        <v>1.5669999999999999</v>
      </c>
      <c r="E164" s="36">
        <v>1.5820000000000001</v>
      </c>
      <c r="F164" s="36">
        <v>1.4279999999999999</v>
      </c>
      <c r="G164" s="52">
        <v>-6.6400000000000001E-2</v>
      </c>
      <c r="K164" s="56" t="s">
        <v>271</v>
      </c>
      <c r="L164" s="52">
        <v>2.81E-2</v>
      </c>
      <c r="M164" s="36" t="s">
        <v>271</v>
      </c>
      <c r="N164" s="52">
        <v>1.6500000000000001E-2</v>
      </c>
    </row>
    <row r="165" spans="2:14" x14ac:dyDescent="0.45">
      <c r="B165" s="56" t="s">
        <v>272</v>
      </c>
      <c r="C165" s="36">
        <v>1.5569999999999999</v>
      </c>
      <c r="D165" s="36">
        <v>1.6080000000000001</v>
      </c>
      <c r="E165" s="36">
        <v>1.639</v>
      </c>
      <c r="F165" s="36">
        <v>1.5549999999999999</v>
      </c>
      <c r="G165" s="52">
        <v>-1.5100000000000001E-2</v>
      </c>
      <c r="K165" s="56" t="s">
        <v>273</v>
      </c>
      <c r="L165" s="52">
        <v>6.1000000000000004E-3</v>
      </c>
      <c r="M165" s="36" t="s">
        <v>273</v>
      </c>
      <c r="N165" s="52">
        <v>6.1999999999999998E-3</v>
      </c>
    </row>
    <row r="166" spans="2:14" x14ac:dyDescent="0.45">
      <c r="B166" s="56" t="s">
        <v>274</v>
      </c>
      <c r="C166" s="36">
        <v>1.581</v>
      </c>
      <c r="D166" s="36">
        <v>1.62</v>
      </c>
      <c r="E166" s="36">
        <v>1.627</v>
      </c>
      <c r="F166" s="36">
        <v>1.552</v>
      </c>
      <c r="G166" s="52">
        <v>-2.6200000000000001E-2</v>
      </c>
      <c r="K166" s="56" t="s">
        <v>275</v>
      </c>
      <c r="L166" s="52">
        <v>5.0999999999999997E-2</v>
      </c>
      <c r="M166" s="36" t="s">
        <v>275</v>
      </c>
      <c r="N166" s="52">
        <v>2.0500000000000001E-2</v>
      </c>
    </row>
    <row r="167" spans="2:14" x14ac:dyDescent="0.45">
      <c r="B167" s="56" t="s">
        <v>276</v>
      </c>
      <c r="C167" s="36">
        <v>1.623</v>
      </c>
      <c r="D167" s="36">
        <v>1.635</v>
      </c>
      <c r="E167" s="36">
        <v>1.6919999999999999</v>
      </c>
      <c r="F167" s="36">
        <v>1.605</v>
      </c>
      <c r="G167" s="52">
        <v>-7.3000000000000001E-3</v>
      </c>
      <c r="K167" s="56" t="s">
        <v>277</v>
      </c>
      <c r="L167" s="52">
        <v>9.5999999999999992E-3</v>
      </c>
      <c r="M167" s="36" t="s">
        <v>277</v>
      </c>
      <c r="N167" s="52">
        <v>1.4E-3</v>
      </c>
    </row>
    <row r="168" spans="2:14" x14ac:dyDescent="0.45">
      <c r="B168" s="58">
        <v>44444</v>
      </c>
      <c r="C168" s="36">
        <v>1.635</v>
      </c>
      <c r="D168" s="36">
        <v>1.5860000000000001</v>
      </c>
      <c r="E168" s="36">
        <v>1.7070000000000001</v>
      </c>
      <c r="F168" s="36">
        <v>1.5589999999999999</v>
      </c>
      <c r="G168" s="52">
        <v>3.5700000000000003E-2</v>
      </c>
      <c r="K168" s="56" t="s">
        <v>278</v>
      </c>
      <c r="L168" s="52">
        <v>-8.8000000000000005E-3</v>
      </c>
      <c r="M168" s="36" t="s">
        <v>278</v>
      </c>
      <c r="N168" s="52">
        <v>-2.3800000000000002E-2</v>
      </c>
    </row>
    <row r="169" spans="2:14" x14ac:dyDescent="0.45">
      <c r="B169" s="58">
        <v>44232</v>
      </c>
      <c r="C169" s="36">
        <v>1.579</v>
      </c>
      <c r="D169" s="36">
        <v>1.631</v>
      </c>
      <c r="E169" s="36">
        <v>1.655</v>
      </c>
      <c r="F169" s="36">
        <v>1.4690000000000001</v>
      </c>
      <c r="G169" s="52">
        <v>-2.9000000000000001E-2</v>
      </c>
      <c r="K169" s="56" t="s">
        <v>279</v>
      </c>
      <c r="L169" s="52">
        <v>-2.1100000000000001E-2</v>
      </c>
      <c r="M169" s="36" t="s">
        <v>279</v>
      </c>
      <c r="N169" s="52">
        <v>-1.0200000000000001E-2</v>
      </c>
    </row>
    <row r="170" spans="2:14" x14ac:dyDescent="0.45">
      <c r="B170" s="56" t="s">
        <v>280</v>
      </c>
      <c r="C170" s="36">
        <v>1.6259999999999999</v>
      </c>
      <c r="D170" s="36">
        <v>1.5629999999999999</v>
      </c>
      <c r="E170" s="36">
        <v>1.69</v>
      </c>
      <c r="F170" s="36">
        <v>1.556</v>
      </c>
      <c r="G170" s="52">
        <v>4.2599999999999999E-2</v>
      </c>
      <c r="K170" s="56" t="s">
        <v>281</v>
      </c>
      <c r="L170" s="52">
        <v>-1.7500000000000002E-2</v>
      </c>
      <c r="M170" s="36" t="s">
        <v>281</v>
      </c>
      <c r="N170" s="52">
        <v>-5.7999999999999996E-3</v>
      </c>
    </row>
    <row r="171" spans="2:14" x14ac:dyDescent="0.45">
      <c r="B171" s="56" t="s">
        <v>282</v>
      </c>
      <c r="C171" s="36">
        <v>1.5589999999999999</v>
      </c>
      <c r="D171" s="36">
        <v>1.5780000000000001</v>
      </c>
      <c r="E171" s="36">
        <v>1.633</v>
      </c>
      <c r="F171" s="36">
        <v>1.5309999999999999</v>
      </c>
      <c r="G171" s="52">
        <v>-1.9400000000000001E-2</v>
      </c>
      <c r="K171" s="56" t="s">
        <v>283</v>
      </c>
      <c r="L171" s="52">
        <v>-3.5700000000000003E-2</v>
      </c>
      <c r="M171" s="36" t="s">
        <v>283</v>
      </c>
      <c r="N171" s="52">
        <v>-7.1999999999999998E-3</v>
      </c>
    </row>
    <row r="172" spans="2:14" x14ac:dyDescent="0.45">
      <c r="B172" s="58">
        <v>44504</v>
      </c>
      <c r="C172" s="36">
        <v>1.59</v>
      </c>
      <c r="D172" s="36">
        <v>1.6739999999999999</v>
      </c>
      <c r="E172" s="36">
        <v>1.7030000000000001</v>
      </c>
      <c r="F172" s="36">
        <v>1.528</v>
      </c>
      <c r="G172" s="52">
        <v>-4.3099999999999999E-2</v>
      </c>
      <c r="K172" s="56" t="s">
        <v>284</v>
      </c>
      <c r="L172" s="52">
        <v>-4.1000000000000003E-3</v>
      </c>
      <c r="M172" s="36" t="s">
        <v>284</v>
      </c>
      <c r="N172" s="52">
        <v>1.4200000000000001E-2</v>
      </c>
    </row>
    <row r="173" spans="2:14" x14ac:dyDescent="0.45">
      <c r="B173" s="58">
        <v>44290</v>
      </c>
      <c r="C173" s="36">
        <v>1.6619999999999999</v>
      </c>
      <c r="D173" s="36">
        <v>1.7050000000000001</v>
      </c>
      <c r="E173" s="36">
        <v>1.7450000000000001</v>
      </c>
      <c r="F173" s="36">
        <v>1.617</v>
      </c>
      <c r="G173" s="52">
        <v>-6.6E-3</v>
      </c>
      <c r="K173" s="56" t="s">
        <v>285</v>
      </c>
      <c r="L173" s="52">
        <v>0.03</v>
      </c>
      <c r="M173" s="36" t="s">
        <v>285</v>
      </c>
      <c r="N173" s="52">
        <v>3.8699999999999998E-2</v>
      </c>
    </row>
    <row r="174" spans="2:14" x14ac:dyDescent="0.45">
      <c r="B174" s="56" t="s">
        <v>286</v>
      </c>
      <c r="C174" s="36">
        <v>1.673</v>
      </c>
      <c r="D174" s="36">
        <v>1.6719999999999999</v>
      </c>
      <c r="E174" s="36">
        <v>1.776</v>
      </c>
      <c r="F174" s="36">
        <v>1.635</v>
      </c>
      <c r="G174" s="52">
        <v>-6.9999999999999999E-4</v>
      </c>
      <c r="K174" s="56" t="s">
        <v>287</v>
      </c>
      <c r="L174" s="52">
        <v>4.7300000000000002E-2</v>
      </c>
      <c r="M174" s="36" t="s">
        <v>287</v>
      </c>
      <c r="N174" s="52">
        <v>2.7E-2</v>
      </c>
    </row>
    <row r="175" spans="2:14" x14ac:dyDescent="0.45">
      <c r="B175" s="56" t="s">
        <v>288</v>
      </c>
      <c r="C175" s="36">
        <v>1.6739999999999999</v>
      </c>
      <c r="D175" s="36">
        <v>1.7070000000000001</v>
      </c>
      <c r="E175" s="36">
        <v>1.7090000000000001</v>
      </c>
      <c r="F175" s="36">
        <v>1.589</v>
      </c>
      <c r="G175" s="52">
        <v>-3.2199999999999999E-2</v>
      </c>
      <c r="K175" s="56" t="s">
        <v>289</v>
      </c>
      <c r="L175" s="52">
        <v>6.5299999999999997E-2</v>
      </c>
      <c r="M175" s="36" t="s">
        <v>289</v>
      </c>
      <c r="N175" s="52">
        <v>8.6999999999999994E-3</v>
      </c>
    </row>
    <row r="176" spans="2:14" x14ac:dyDescent="0.45">
      <c r="B176" s="56" t="s">
        <v>290</v>
      </c>
      <c r="C176" s="36">
        <v>1.73</v>
      </c>
      <c r="D176" s="36">
        <v>1.637</v>
      </c>
      <c r="E176" s="36">
        <v>1.754</v>
      </c>
      <c r="F176" s="36">
        <v>1.585</v>
      </c>
      <c r="G176" s="52">
        <v>6.4799999999999996E-2</v>
      </c>
      <c r="K176" s="56" t="s">
        <v>291</v>
      </c>
      <c r="L176" s="52">
        <v>-6.8999999999999999E-3</v>
      </c>
      <c r="M176" s="36" t="s">
        <v>291</v>
      </c>
      <c r="N176" s="52">
        <v>-5.4000000000000003E-3</v>
      </c>
    </row>
    <row r="177" spans="2:14" x14ac:dyDescent="0.45">
      <c r="B177" s="58">
        <v>44380</v>
      </c>
      <c r="C177" s="36">
        <v>1.625</v>
      </c>
      <c r="D177" s="36">
        <v>1.597</v>
      </c>
      <c r="E177" s="36">
        <v>1.6419999999999999</v>
      </c>
      <c r="F177" s="36">
        <v>1.4750000000000001</v>
      </c>
      <c r="G177" s="52">
        <v>3.0499999999999999E-2</v>
      </c>
      <c r="K177" s="56" t="s">
        <v>292</v>
      </c>
      <c r="L177" s="52">
        <v>7.1999999999999998E-3</v>
      </c>
      <c r="M177" s="36" t="s">
        <v>292</v>
      </c>
      <c r="N177" s="52">
        <v>2.12E-2</v>
      </c>
    </row>
    <row r="178" spans="2:14" x14ac:dyDescent="0.45">
      <c r="B178" s="56" t="s">
        <v>293</v>
      </c>
      <c r="C178" s="36">
        <v>1.577</v>
      </c>
      <c r="D178" s="36">
        <v>1.395</v>
      </c>
      <c r="E178" s="36">
        <v>1.625</v>
      </c>
      <c r="F178" s="36">
        <v>1.383</v>
      </c>
      <c r="G178" s="52">
        <v>0.12089999999999999</v>
      </c>
      <c r="K178" s="56" t="s">
        <v>294</v>
      </c>
      <c r="L178" s="52">
        <v>-7.0999999999999994E-2</v>
      </c>
      <c r="M178" s="36" t="s">
        <v>294</v>
      </c>
      <c r="N178" s="52">
        <v>-1.8700000000000001E-2</v>
      </c>
    </row>
    <row r="179" spans="2:14" x14ac:dyDescent="0.45">
      <c r="B179" s="56" t="s">
        <v>295</v>
      </c>
      <c r="C179" s="36">
        <v>1.407</v>
      </c>
      <c r="D179" s="36">
        <v>1.363</v>
      </c>
      <c r="E179" s="36">
        <v>1.6140000000000001</v>
      </c>
      <c r="F179" s="36">
        <v>1.3260000000000001</v>
      </c>
      <c r="G179" s="52">
        <v>4.99E-2</v>
      </c>
      <c r="K179" s="56" t="s">
        <v>296</v>
      </c>
      <c r="L179" s="52">
        <v>-8.5300000000000001E-2</v>
      </c>
      <c r="M179" s="36" t="s">
        <v>296</v>
      </c>
      <c r="N179" s="52">
        <v>-4.9399999999999999E-2</v>
      </c>
    </row>
    <row r="180" spans="2:14" x14ac:dyDescent="0.45">
      <c r="B180" s="56" t="s">
        <v>297</v>
      </c>
      <c r="C180" s="36">
        <v>1.34</v>
      </c>
      <c r="D180" s="36">
        <v>1.25</v>
      </c>
      <c r="E180" s="36">
        <v>1.363</v>
      </c>
      <c r="F180" s="36">
        <v>1.2230000000000001</v>
      </c>
      <c r="G180" s="52">
        <v>0.10730000000000001</v>
      </c>
      <c r="K180" s="56" t="s">
        <v>298</v>
      </c>
      <c r="L180" s="52">
        <v>-8.2199999999999995E-2</v>
      </c>
      <c r="M180" s="36" t="s">
        <v>298</v>
      </c>
      <c r="N180" s="52">
        <v>-1.6400000000000001E-2</v>
      </c>
    </row>
    <row r="181" spans="2:14" x14ac:dyDescent="0.45">
      <c r="B181" s="58">
        <v>44379</v>
      </c>
      <c r="C181" s="36">
        <v>1.21</v>
      </c>
      <c r="D181" s="36">
        <v>1.1719999999999999</v>
      </c>
      <c r="E181" s="36">
        <v>1.2130000000000001</v>
      </c>
      <c r="F181" s="36">
        <v>1.1220000000000001</v>
      </c>
      <c r="G181" s="52">
        <v>3.5299999999999998E-2</v>
      </c>
      <c r="K181" s="56" t="s">
        <v>299</v>
      </c>
      <c r="L181" s="52">
        <v>7.0199999999999999E-2</v>
      </c>
      <c r="M181" s="36" t="s">
        <v>299</v>
      </c>
      <c r="N181" s="52">
        <v>1.4999999999999999E-2</v>
      </c>
    </row>
    <row r="182" spans="2:14" x14ac:dyDescent="0.45">
      <c r="B182" s="56" t="s">
        <v>300</v>
      </c>
      <c r="C182" s="36">
        <v>1.169</v>
      </c>
      <c r="D182" s="36">
        <v>1.071</v>
      </c>
      <c r="E182" s="36">
        <v>1.1879999999999999</v>
      </c>
      <c r="F182" s="36">
        <v>1.06</v>
      </c>
      <c r="G182" s="52">
        <v>9.1600000000000001E-2</v>
      </c>
      <c r="K182" s="56" t="s">
        <v>301</v>
      </c>
      <c r="L182" s="52">
        <v>6.8400000000000002E-2</v>
      </c>
      <c r="M182" s="36" t="s">
        <v>301</v>
      </c>
      <c r="N182" s="52">
        <v>5.2499999999999998E-2</v>
      </c>
    </row>
    <row r="183" spans="2:14" x14ac:dyDescent="0.45">
      <c r="B183" s="56" t="s">
        <v>302</v>
      </c>
      <c r="C183" s="36">
        <v>1.071</v>
      </c>
      <c r="D183" s="36">
        <v>1.0960000000000001</v>
      </c>
      <c r="E183" s="36">
        <v>1.105</v>
      </c>
      <c r="F183" s="36">
        <v>0.996</v>
      </c>
      <c r="G183" s="52">
        <v>-1.37E-2</v>
      </c>
      <c r="K183" s="56" t="s">
        <v>303</v>
      </c>
      <c r="L183" s="52">
        <v>-5.4399999999999997E-2</v>
      </c>
      <c r="M183" s="36" t="s">
        <v>303</v>
      </c>
      <c r="N183" s="52">
        <v>-3.3000000000000002E-2</v>
      </c>
    </row>
    <row r="184" spans="2:14" x14ac:dyDescent="0.45">
      <c r="B184" s="56" t="s">
        <v>304</v>
      </c>
      <c r="C184" s="36">
        <v>1.0860000000000001</v>
      </c>
      <c r="D184" s="36">
        <v>1.1020000000000001</v>
      </c>
      <c r="E184" s="36">
        <v>1.123</v>
      </c>
      <c r="F184" s="36">
        <v>1.075</v>
      </c>
      <c r="G184" s="52">
        <v>-1.2999999999999999E-3</v>
      </c>
      <c r="K184" s="56" t="s">
        <v>305</v>
      </c>
      <c r="L184" s="52">
        <v>4.3299999999999998E-2</v>
      </c>
      <c r="M184" s="36" t="s">
        <v>305</v>
      </c>
      <c r="N184" s="52">
        <v>4.3900000000000002E-2</v>
      </c>
    </row>
    <row r="185" spans="2:14" x14ac:dyDescent="0.45">
      <c r="B185" s="58">
        <v>44470</v>
      </c>
      <c r="C185" s="36">
        <v>1.087</v>
      </c>
      <c r="D185" s="36">
        <v>1.107</v>
      </c>
      <c r="E185" s="36">
        <v>1.1870000000000001</v>
      </c>
      <c r="F185" s="36">
        <v>1.071</v>
      </c>
      <c r="G185" s="52">
        <v>-2.8400000000000002E-2</v>
      </c>
      <c r="K185" s="56" t="s">
        <v>306</v>
      </c>
      <c r="L185" s="52">
        <v>-1.4800000000000001E-2</v>
      </c>
      <c r="M185" s="36" t="s">
        <v>306</v>
      </c>
      <c r="N185" s="52">
        <v>-2.3E-2</v>
      </c>
    </row>
    <row r="186" spans="2:14" x14ac:dyDescent="0.45">
      <c r="B186" s="58">
        <v>44256</v>
      </c>
      <c r="C186" s="36">
        <v>1.119</v>
      </c>
      <c r="D186" s="36">
        <v>0.93</v>
      </c>
      <c r="E186" s="36">
        <v>1.125</v>
      </c>
      <c r="F186" s="36">
        <v>0.90600000000000003</v>
      </c>
      <c r="G186" s="52">
        <v>0.22059999999999999</v>
      </c>
      <c r="K186" s="56" t="s">
        <v>307</v>
      </c>
      <c r="L186" s="52">
        <v>1.37E-2</v>
      </c>
      <c r="M186" s="36" t="s">
        <v>307</v>
      </c>
      <c r="N186" s="52">
        <v>1.6799999999999999E-2</v>
      </c>
    </row>
    <row r="187" spans="2:14" x14ac:dyDescent="0.45">
      <c r="B187" s="56" t="s">
        <v>308</v>
      </c>
      <c r="C187" s="36">
        <v>0.91600000000000004</v>
      </c>
      <c r="D187" s="36">
        <v>0.94</v>
      </c>
      <c r="E187" s="36">
        <v>0.96299999999999997</v>
      </c>
      <c r="F187" s="36">
        <v>0.91100000000000003</v>
      </c>
      <c r="G187" s="52">
        <v>-1.0699999999999999E-2</v>
      </c>
      <c r="K187" s="56" t="s">
        <v>309</v>
      </c>
      <c r="L187" s="52">
        <v>1.15E-2</v>
      </c>
      <c r="M187" s="36" t="s">
        <v>309</v>
      </c>
      <c r="N187" s="52">
        <v>1.3899999999999999E-2</v>
      </c>
    </row>
    <row r="188" spans="2:14" x14ac:dyDescent="0.45">
      <c r="B188" s="56" t="s">
        <v>310</v>
      </c>
      <c r="C188" s="36">
        <v>0.92600000000000005</v>
      </c>
      <c r="D188" s="36">
        <v>0.93799999999999994</v>
      </c>
      <c r="E188" s="36">
        <v>0.97299999999999998</v>
      </c>
      <c r="F188" s="36">
        <v>0.88200000000000001</v>
      </c>
      <c r="G188" s="52">
        <v>-1.9300000000000001E-2</v>
      </c>
      <c r="K188" s="56" t="s">
        <v>311</v>
      </c>
      <c r="L188" s="52">
        <v>5.0000000000000001E-3</v>
      </c>
      <c r="M188" s="36" t="s">
        <v>311</v>
      </c>
      <c r="N188" s="52">
        <v>-2.0999999999999999E-3</v>
      </c>
    </row>
    <row r="189" spans="2:14" x14ac:dyDescent="0.45">
      <c r="B189" s="56" t="s">
        <v>312</v>
      </c>
      <c r="C189" s="36">
        <v>0.94499999999999995</v>
      </c>
      <c r="D189" s="36">
        <v>0.91100000000000003</v>
      </c>
      <c r="E189" s="36">
        <v>0.95499999999999996</v>
      </c>
      <c r="F189" s="36">
        <v>0.88500000000000001</v>
      </c>
      <c r="G189" s="52">
        <v>5.3800000000000001E-2</v>
      </c>
      <c r="K189" s="56" t="s">
        <v>313</v>
      </c>
      <c r="L189" s="52">
        <v>7.8700000000000006E-2</v>
      </c>
      <c r="M189" s="36" t="s">
        <v>313</v>
      </c>
      <c r="N189" s="52">
        <v>2.93E-2</v>
      </c>
    </row>
    <row r="190" spans="2:14" x14ac:dyDescent="0.45">
      <c r="B190" s="58">
        <v>43994</v>
      </c>
      <c r="C190" s="36">
        <v>0.89600000000000002</v>
      </c>
      <c r="D190" s="36">
        <v>0.97399999999999998</v>
      </c>
      <c r="E190" s="36">
        <v>0.97399999999999998</v>
      </c>
      <c r="F190" s="36">
        <v>0.873</v>
      </c>
      <c r="G190" s="52">
        <v>-7.8299999999999995E-2</v>
      </c>
      <c r="K190" s="56" t="s">
        <v>314</v>
      </c>
      <c r="L190" s="52">
        <v>-2.0999999999999999E-3</v>
      </c>
      <c r="M190" s="36" t="s">
        <v>314</v>
      </c>
      <c r="N190" s="52">
        <v>-1.2200000000000001E-2</v>
      </c>
    </row>
    <row r="191" spans="2:14" x14ac:dyDescent="0.45">
      <c r="B191" s="56" t="s">
        <v>315</v>
      </c>
      <c r="C191" s="36">
        <v>0.97299999999999998</v>
      </c>
      <c r="D191" s="36">
        <v>0.84499999999999997</v>
      </c>
      <c r="E191" s="36">
        <v>0.98599999999999999</v>
      </c>
      <c r="F191" s="36">
        <v>0.83099999999999996</v>
      </c>
      <c r="G191" s="52">
        <v>0.1547</v>
      </c>
      <c r="K191" s="56" t="s">
        <v>316</v>
      </c>
      <c r="L191" s="52">
        <v>5.0799999999999998E-2</v>
      </c>
      <c r="M191" s="36" t="s">
        <v>316</v>
      </c>
      <c r="N191" s="52">
        <v>2.1999999999999999E-2</v>
      </c>
    </row>
    <row r="192" spans="2:14" x14ac:dyDescent="0.45">
      <c r="B192" s="56" t="s">
        <v>317</v>
      </c>
      <c r="C192" s="36">
        <v>0.84199999999999997</v>
      </c>
      <c r="D192" s="36">
        <v>0.83199999999999996</v>
      </c>
      <c r="E192" s="36">
        <v>0.9</v>
      </c>
      <c r="F192" s="36">
        <v>0.82599999999999996</v>
      </c>
      <c r="G192" s="52">
        <v>2.1700000000000001E-2</v>
      </c>
      <c r="K192" s="56" t="s">
        <v>318</v>
      </c>
      <c r="L192" s="52">
        <v>3.1600000000000003E-2</v>
      </c>
      <c r="M192" s="36" t="s">
        <v>318</v>
      </c>
      <c r="N192" s="52">
        <v>2.9499999999999998E-2</v>
      </c>
    </row>
    <row r="193" spans="2:14" x14ac:dyDescent="0.45">
      <c r="B193" s="56" t="s">
        <v>319</v>
      </c>
      <c r="C193" s="36">
        <v>0.82399999999999995</v>
      </c>
      <c r="D193" s="36">
        <v>0.9</v>
      </c>
      <c r="E193" s="36">
        <v>0.93100000000000005</v>
      </c>
      <c r="F193" s="36">
        <v>0.81799999999999995</v>
      </c>
      <c r="G193" s="52">
        <v>-8.2000000000000003E-2</v>
      </c>
      <c r="K193" s="56" t="s">
        <v>320</v>
      </c>
      <c r="L193" s="52">
        <v>-3.4099999999999998E-2</v>
      </c>
      <c r="M193" s="36" t="s">
        <v>320</v>
      </c>
      <c r="N193" s="52">
        <v>-2.5999999999999999E-3</v>
      </c>
    </row>
    <row r="194" spans="2:14" x14ac:dyDescent="0.45">
      <c r="B194" s="58">
        <v>44054</v>
      </c>
      <c r="C194" s="36">
        <v>0.89800000000000002</v>
      </c>
      <c r="D194" s="36">
        <v>0.83</v>
      </c>
      <c r="E194" s="36">
        <v>0.97499999999999998</v>
      </c>
      <c r="F194" s="36">
        <v>0.79800000000000004</v>
      </c>
      <c r="G194" s="52">
        <v>9.4899999999999998E-2</v>
      </c>
      <c r="K194" s="56" t="s">
        <v>321</v>
      </c>
      <c r="L194" s="52">
        <v>-6.4299999999999996E-2</v>
      </c>
      <c r="M194" s="36" t="s">
        <v>321</v>
      </c>
      <c r="N194" s="52">
        <v>-1.2699999999999999E-2</v>
      </c>
    </row>
    <row r="195" spans="2:14" x14ac:dyDescent="0.45">
      <c r="B195" s="58">
        <v>43841</v>
      </c>
      <c r="C195" s="36">
        <v>0.82</v>
      </c>
      <c r="D195" s="36">
        <v>0.85499999999999998</v>
      </c>
      <c r="E195" s="36">
        <v>0.94499999999999995</v>
      </c>
      <c r="F195" s="36">
        <v>0.71799999999999997</v>
      </c>
      <c r="G195" s="52">
        <v>-6.13E-2</v>
      </c>
      <c r="K195" s="56" t="s">
        <v>322</v>
      </c>
      <c r="L195" s="52">
        <v>0.13059999999999999</v>
      </c>
      <c r="M195" s="36" t="s">
        <v>322</v>
      </c>
      <c r="N195" s="52">
        <v>9.3899999999999997E-2</v>
      </c>
    </row>
    <row r="196" spans="2:14" x14ac:dyDescent="0.45">
      <c r="B196" s="56" t="s">
        <v>323</v>
      </c>
      <c r="C196" s="36">
        <v>0.874</v>
      </c>
      <c r="D196" s="36">
        <v>0.82799999999999996</v>
      </c>
      <c r="E196" s="36">
        <v>0.877</v>
      </c>
      <c r="F196" s="36">
        <v>0.746</v>
      </c>
      <c r="G196" s="52">
        <v>3.85E-2</v>
      </c>
      <c r="K196" s="56" t="s">
        <v>324</v>
      </c>
      <c r="L196" s="52">
        <v>-5.6800000000000003E-2</v>
      </c>
      <c r="M196" s="36" t="s">
        <v>324</v>
      </c>
      <c r="N196" s="52">
        <v>-5.4699999999999999E-2</v>
      </c>
    </row>
    <row r="197" spans="2:14" x14ac:dyDescent="0.45">
      <c r="B197" s="56" t="s">
        <v>325</v>
      </c>
      <c r="C197" s="36">
        <v>0.84099999999999997</v>
      </c>
      <c r="D197" s="36">
        <v>0.75900000000000001</v>
      </c>
      <c r="E197" s="36">
        <v>0.872</v>
      </c>
      <c r="F197" s="36">
        <v>0.754</v>
      </c>
      <c r="G197" s="52">
        <v>0.1234</v>
      </c>
      <c r="K197" s="56" t="s">
        <v>326</v>
      </c>
      <c r="L197" s="52">
        <v>1.1000000000000001E-3</v>
      </c>
      <c r="M197" s="36" t="s">
        <v>326</v>
      </c>
      <c r="N197" s="52">
        <v>-1.35E-2</v>
      </c>
    </row>
    <row r="198" spans="2:14" x14ac:dyDescent="0.45">
      <c r="B198" s="58">
        <v>44145</v>
      </c>
      <c r="C198" s="36">
        <v>0.749</v>
      </c>
      <c r="D198" s="36">
        <v>0.76</v>
      </c>
      <c r="E198" s="36">
        <v>0.76900000000000002</v>
      </c>
      <c r="F198" s="36">
        <v>0.69099999999999995</v>
      </c>
      <c r="G198" s="52">
        <v>-3.8300000000000001E-2</v>
      </c>
      <c r="K198" s="56" t="s">
        <v>327</v>
      </c>
      <c r="L198" s="52">
        <v>1.6400000000000001E-2</v>
      </c>
      <c r="M198" s="36" t="s">
        <v>327</v>
      </c>
      <c r="N198" s="52">
        <v>1.0800000000000001E-2</v>
      </c>
    </row>
    <row r="199" spans="2:14" x14ac:dyDescent="0.45">
      <c r="B199" s="58">
        <v>43931</v>
      </c>
      <c r="C199" s="36">
        <v>0.77900000000000003</v>
      </c>
      <c r="D199" s="36">
        <v>0.71</v>
      </c>
      <c r="E199" s="36">
        <v>0.79900000000000004</v>
      </c>
      <c r="F199" s="36">
        <v>0.69899999999999995</v>
      </c>
      <c r="G199" s="52">
        <v>0.10639999999999999</v>
      </c>
      <c r="K199" s="56" t="s">
        <v>328</v>
      </c>
      <c r="L199" s="52">
        <v>5.0799999999999998E-2</v>
      </c>
      <c r="M199" s="36" t="s">
        <v>328</v>
      </c>
      <c r="N199" s="52">
        <v>4.1799999999999997E-2</v>
      </c>
    </row>
    <row r="200" spans="2:14" x14ac:dyDescent="0.45">
      <c r="B200" s="56" t="s">
        <v>329</v>
      </c>
      <c r="C200" s="36">
        <v>0.70399999999999996</v>
      </c>
      <c r="D200" s="36">
        <v>0.65800000000000003</v>
      </c>
      <c r="E200" s="36">
        <v>0.72</v>
      </c>
      <c r="F200" s="36">
        <v>0.64100000000000001</v>
      </c>
      <c r="G200" s="52">
        <v>7.2700000000000001E-2</v>
      </c>
      <c r="K200" s="56" t="s">
        <v>330</v>
      </c>
      <c r="L200" s="52">
        <v>1.7000000000000001E-2</v>
      </c>
      <c r="M200" s="36" t="s">
        <v>330</v>
      </c>
      <c r="N200" s="52">
        <v>9.4000000000000004E-3</v>
      </c>
    </row>
    <row r="201" spans="2:14" x14ac:dyDescent="0.45">
      <c r="B201" s="56" t="s">
        <v>331</v>
      </c>
      <c r="C201" s="36">
        <v>0.65600000000000003</v>
      </c>
      <c r="D201" s="36">
        <v>0.68200000000000005</v>
      </c>
      <c r="E201" s="36">
        <v>0.69199999999999995</v>
      </c>
      <c r="F201" s="36">
        <v>0.64800000000000002</v>
      </c>
      <c r="G201" s="52">
        <v>-5.8700000000000002E-2</v>
      </c>
      <c r="K201" s="56" t="s">
        <v>332</v>
      </c>
      <c r="L201" s="52">
        <v>5.3400000000000003E-2</v>
      </c>
      <c r="M201" s="36" t="s">
        <v>332</v>
      </c>
      <c r="N201" s="52">
        <v>1.9599999999999999E-2</v>
      </c>
    </row>
    <row r="202" spans="2:14" x14ac:dyDescent="0.45">
      <c r="B202" s="56" t="s">
        <v>333</v>
      </c>
      <c r="C202" s="36">
        <v>0.69699999999999995</v>
      </c>
      <c r="D202" s="36">
        <v>0.67200000000000004</v>
      </c>
      <c r="E202" s="36">
        <v>0.70199999999999996</v>
      </c>
      <c r="F202" s="36">
        <v>0.64600000000000002</v>
      </c>
      <c r="G202" s="52">
        <v>4.19E-2</v>
      </c>
      <c r="K202" s="56" t="s">
        <v>334</v>
      </c>
      <c r="L202" s="52">
        <v>-1.15E-2</v>
      </c>
      <c r="M202" s="36" t="s">
        <v>334</v>
      </c>
      <c r="N202" s="52">
        <v>-1.3599999999999999E-2</v>
      </c>
    </row>
    <row r="203" spans="2:14" x14ac:dyDescent="0.45">
      <c r="B203" s="58">
        <v>43991</v>
      </c>
      <c r="C203" s="36">
        <v>0.66900000000000004</v>
      </c>
      <c r="D203" s="36">
        <v>0.72</v>
      </c>
      <c r="E203" s="36">
        <v>0.72299999999999998</v>
      </c>
      <c r="F203" s="36">
        <v>0.65900000000000003</v>
      </c>
      <c r="G203" s="52">
        <v>-7.2499999999999995E-2</v>
      </c>
      <c r="K203" s="56" t="s">
        <v>335</v>
      </c>
      <c r="L203" s="52">
        <v>-4.1799999999999997E-2</v>
      </c>
      <c r="M203" s="36" t="s">
        <v>335</v>
      </c>
      <c r="N203" s="52">
        <v>-4.5999999999999999E-2</v>
      </c>
    </row>
    <row r="204" spans="2:14" x14ac:dyDescent="0.45">
      <c r="B204" s="56" t="s">
        <v>336</v>
      </c>
      <c r="C204" s="36">
        <v>0.72099999999999997</v>
      </c>
      <c r="D204" s="36">
        <v>0.72299999999999998</v>
      </c>
      <c r="E204" s="36">
        <v>0.749</v>
      </c>
      <c r="F204" s="36">
        <v>0.60399999999999998</v>
      </c>
      <c r="G204" s="52">
        <v>-4.3E-3</v>
      </c>
      <c r="K204" s="56" t="s">
        <v>337</v>
      </c>
      <c r="L204" s="52">
        <v>-4.7899999999999998E-2</v>
      </c>
      <c r="M204" s="36" t="s">
        <v>337</v>
      </c>
      <c r="N204" s="52">
        <v>-3.1199999999999999E-2</v>
      </c>
    </row>
    <row r="205" spans="2:14" x14ac:dyDescent="0.45">
      <c r="B205" s="56" t="s">
        <v>338</v>
      </c>
      <c r="C205" s="36">
        <v>0.72399999999999998</v>
      </c>
      <c r="D205" s="36">
        <v>0.63200000000000001</v>
      </c>
      <c r="E205" s="36">
        <v>0.78900000000000003</v>
      </c>
      <c r="F205" s="36">
        <v>0.622</v>
      </c>
      <c r="G205" s="52">
        <v>0.13850000000000001</v>
      </c>
      <c r="K205" s="56" t="s">
        <v>339</v>
      </c>
      <c r="L205" s="52">
        <v>0.03</v>
      </c>
      <c r="M205" s="36" t="s">
        <v>339</v>
      </c>
      <c r="N205" s="52">
        <v>3.8100000000000002E-2</v>
      </c>
    </row>
    <row r="206" spans="2:14" x14ac:dyDescent="0.45">
      <c r="B206" s="56" t="s">
        <v>340</v>
      </c>
      <c r="C206" s="36">
        <v>0.63600000000000001</v>
      </c>
      <c r="D206" s="36">
        <v>0.71299999999999997</v>
      </c>
      <c r="E206" s="36">
        <v>0.71399999999999997</v>
      </c>
      <c r="F206" s="36">
        <v>0.623</v>
      </c>
      <c r="G206" s="52">
        <v>-0.10299999999999999</v>
      </c>
      <c r="K206" s="56" t="s">
        <v>341</v>
      </c>
      <c r="L206" s="52">
        <v>8.6400000000000005E-2</v>
      </c>
      <c r="M206" s="36" t="s">
        <v>341</v>
      </c>
      <c r="N206" s="52">
        <v>3.5000000000000003E-2</v>
      </c>
    </row>
    <row r="207" spans="2:14" x14ac:dyDescent="0.45">
      <c r="B207" s="58">
        <v>44082</v>
      </c>
      <c r="C207" s="36">
        <v>0.70899999999999996</v>
      </c>
      <c r="D207" s="36">
        <v>0.57099999999999995</v>
      </c>
      <c r="E207" s="36">
        <v>0.72699999999999998</v>
      </c>
      <c r="F207" s="36">
        <v>0.54400000000000004</v>
      </c>
      <c r="G207" s="52">
        <v>0.254</v>
      </c>
      <c r="K207" s="56" t="s">
        <v>342</v>
      </c>
      <c r="L207" s="52">
        <v>-1.32E-2</v>
      </c>
      <c r="M207" s="36" t="s">
        <v>342</v>
      </c>
      <c r="N207" s="52">
        <v>2.2000000000000001E-3</v>
      </c>
    </row>
    <row r="208" spans="2:14" x14ac:dyDescent="0.45">
      <c r="B208" s="58">
        <v>43869</v>
      </c>
      <c r="C208" s="36">
        <v>0.56599999999999995</v>
      </c>
      <c r="D208" s="36">
        <v>0.53500000000000003</v>
      </c>
      <c r="E208" s="36">
        <v>0.57199999999999995</v>
      </c>
      <c r="F208" s="36">
        <v>0.504</v>
      </c>
      <c r="G208" s="52">
        <v>6.1199999999999997E-2</v>
      </c>
      <c r="K208" s="56" t="s">
        <v>343</v>
      </c>
      <c r="L208" s="52">
        <v>-2.2000000000000001E-3</v>
      </c>
      <c r="M208" s="36" t="s">
        <v>343</v>
      </c>
      <c r="N208" s="52">
        <v>2.1399999999999999E-2</v>
      </c>
    </row>
    <row r="209" spans="2:14" x14ac:dyDescent="0.45">
      <c r="B209" s="56" t="s">
        <v>344</v>
      </c>
      <c r="C209" s="36">
        <v>0.53300000000000003</v>
      </c>
      <c r="D209" s="36">
        <v>0.59</v>
      </c>
      <c r="E209" s="36">
        <v>0.63700000000000001</v>
      </c>
      <c r="F209" s="36">
        <v>0.52</v>
      </c>
      <c r="G209" s="52">
        <v>-9.2100000000000001E-2</v>
      </c>
      <c r="K209" s="56" t="s">
        <v>345</v>
      </c>
      <c r="L209" s="52">
        <v>3.0300000000000001E-2</v>
      </c>
      <c r="M209" s="36" t="s">
        <v>345</v>
      </c>
      <c r="N209" s="52">
        <v>4.0300000000000002E-2</v>
      </c>
    </row>
    <row r="210" spans="2:14" x14ac:dyDescent="0.45">
      <c r="B210" s="56" t="s">
        <v>346</v>
      </c>
      <c r="C210" s="36">
        <v>0.58699999999999997</v>
      </c>
      <c r="D210" s="36">
        <v>0.628</v>
      </c>
      <c r="E210" s="36">
        <v>0.63</v>
      </c>
      <c r="F210" s="36">
        <v>0.55600000000000005</v>
      </c>
      <c r="G210" s="52">
        <v>-5.79E-2</v>
      </c>
      <c r="K210" s="56" t="s">
        <v>347</v>
      </c>
      <c r="L210" s="52">
        <v>-1.4800000000000001E-2</v>
      </c>
      <c r="M210" s="36" t="s">
        <v>347</v>
      </c>
      <c r="N210" s="52">
        <v>-1.52E-2</v>
      </c>
    </row>
    <row r="211" spans="2:14" x14ac:dyDescent="0.45">
      <c r="B211" s="58">
        <v>44172</v>
      </c>
      <c r="C211" s="36">
        <v>0.623</v>
      </c>
      <c r="D211" s="36">
        <v>0.63</v>
      </c>
      <c r="E211" s="36">
        <v>0.66400000000000003</v>
      </c>
      <c r="F211" s="36">
        <v>0.59899999999999998</v>
      </c>
      <c r="G211" s="52">
        <v>-3.0599999999999999E-2</v>
      </c>
      <c r="K211" s="56" t="s">
        <v>348</v>
      </c>
      <c r="L211" s="52">
        <v>-8.6999999999999994E-3</v>
      </c>
      <c r="M211" s="36" t="s">
        <v>348</v>
      </c>
      <c r="N211" s="52">
        <v>-1.7600000000000001E-2</v>
      </c>
    </row>
    <row r="212" spans="2:14" x14ac:dyDescent="0.45">
      <c r="B212" s="58">
        <v>43958</v>
      </c>
      <c r="C212" s="36">
        <v>0.64300000000000002</v>
      </c>
      <c r="D212" s="36">
        <v>0.67600000000000005</v>
      </c>
      <c r="E212" s="36">
        <v>0.71199999999999997</v>
      </c>
      <c r="F212" s="36">
        <v>0.56899999999999995</v>
      </c>
      <c r="G212" s="52">
        <v>-3.9300000000000002E-2</v>
      </c>
      <c r="K212" s="56" t="s">
        <v>349</v>
      </c>
      <c r="L212" s="52">
        <v>2.2000000000000001E-3</v>
      </c>
      <c r="M212" s="36" t="s">
        <v>349</v>
      </c>
      <c r="N212" s="52">
        <v>4.7800000000000002E-2</v>
      </c>
    </row>
    <row r="213" spans="2:14" x14ac:dyDescent="0.45">
      <c r="B213" s="56" t="s">
        <v>350</v>
      </c>
      <c r="C213" s="36">
        <v>0.66900000000000004</v>
      </c>
      <c r="D213" s="36">
        <v>0.63200000000000001</v>
      </c>
      <c r="E213" s="36">
        <v>0.72399999999999998</v>
      </c>
      <c r="F213" s="36">
        <v>0.61799999999999999</v>
      </c>
      <c r="G213" s="52">
        <v>4.6300000000000001E-2</v>
      </c>
      <c r="K213" s="56" t="s">
        <v>351</v>
      </c>
      <c r="L213" s="52">
        <v>3.7600000000000001E-2</v>
      </c>
      <c r="M213" s="36" t="s">
        <v>351</v>
      </c>
      <c r="N213" s="52">
        <v>0.05</v>
      </c>
    </row>
    <row r="214" spans="2:14" x14ac:dyDescent="0.45">
      <c r="B214" s="56" t="s">
        <v>352</v>
      </c>
      <c r="C214" s="36">
        <v>0.64</v>
      </c>
      <c r="D214" s="36">
        <v>0.69499999999999995</v>
      </c>
      <c r="E214" s="36">
        <v>0.73299999999999998</v>
      </c>
      <c r="F214" s="36">
        <v>0.63200000000000001</v>
      </c>
      <c r="G214" s="52">
        <v>-7.7799999999999994E-2</v>
      </c>
      <c r="K214" s="56" t="s">
        <v>353</v>
      </c>
      <c r="L214" s="52">
        <v>3.2399999999999998E-2</v>
      </c>
      <c r="M214" s="36" t="s">
        <v>353</v>
      </c>
      <c r="N214" s="52">
        <v>-1.5900000000000001E-2</v>
      </c>
    </row>
    <row r="215" spans="2:14" x14ac:dyDescent="0.45">
      <c r="B215" s="56" t="s">
        <v>354</v>
      </c>
      <c r="C215" s="36">
        <v>0.69399999999999995</v>
      </c>
      <c r="D215" s="36">
        <v>0.66600000000000004</v>
      </c>
      <c r="E215" s="36">
        <v>0.78400000000000003</v>
      </c>
      <c r="F215" s="36">
        <v>0.65300000000000002</v>
      </c>
      <c r="G215" s="52">
        <v>-2.3E-2</v>
      </c>
      <c r="K215" s="56" t="s">
        <v>355</v>
      </c>
      <c r="L215" s="52">
        <v>2.7E-2</v>
      </c>
      <c r="M215" s="36" t="s">
        <v>355</v>
      </c>
      <c r="N215" s="52">
        <v>3.5700000000000003E-2</v>
      </c>
    </row>
    <row r="216" spans="2:14" x14ac:dyDescent="0.45">
      <c r="B216" s="58">
        <v>44018</v>
      </c>
      <c r="C216" s="36">
        <v>0.71</v>
      </c>
      <c r="D216" s="36">
        <v>0.90200000000000002</v>
      </c>
      <c r="E216" s="36">
        <v>0.93200000000000005</v>
      </c>
      <c r="F216" s="36">
        <v>0.64900000000000002</v>
      </c>
      <c r="G216" s="52">
        <v>-0.2054</v>
      </c>
      <c r="K216" s="56" t="s">
        <v>356</v>
      </c>
      <c r="L216" s="52">
        <v>-1.84E-2</v>
      </c>
      <c r="M216" s="36" t="s">
        <v>356</v>
      </c>
      <c r="N216" s="52">
        <v>-1.6299999999999999E-2</v>
      </c>
    </row>
    <row r="217" spans="2:14" x14ac:dyDescent="0.45">
      <c r="B217" s="56" t="s">
        <v>357</v>
      </c>
      <c r="C217" s="36">
        <v>0.89300000000000002</v>
      </c>
      <c r="D217" s="36">
        <v>0.64</v>
      </c>
      <c r="E217" s="36">
        <v>0.95899999999999996</v>
      </c>
      <c r="F217" s="36">
        <v>0.63800000000000001</v>
      </c>
      <c r="G217" s="52">
        <v>0.36909999999999998</v>
      </c>
      <c r="K217" s="56" t="s">
        <v>358</v>
      </c>
      <c r="L217" s="52">
        <v>1.14E-2</v>
      </c>
      <c r="M217" s="36" t="s">
        <v>358</v>
      </c>
      <c r="N217" s="52">
        <v>2.81E-2</v>
      </c>
    </row>
    <row r="218" spans="2:14" x14ac:dyDescent="0.45">
      <c r="B218" s="56" t="s">
        <v>359</v>
      </c>
      <c r="C218" s="36">
        <v>0.65300000000000002</v>
      </c>
      <c r="D218" s="36">
        <v>0.65600000000000003</v>
      </c>
      <c r="E218" s="36">
        <v>0.72899999999999998</v>
      </c>
      <c r="F218" s="36">
        <v>0.64300000000000002</v>
      </c>
      <c r="G218" s="52">
        <v>-7.3000000000000001E-3</v>
      </c>
      <c r="K218" s="56" t="s">
        <v>360</v>
      </c>
      <c r="L218" s="52">
        <v>5.7299999999999997E-2</v>
      </c>
      <c r="M218" s="36" t="s">
        <v>360</v>
      </c>
      <c r="N218" s="52">
        <v>1.4999999999999999E-2</v>
      </c>
    </row>
    <row r="219" spans="2:14" x14ac:dyDescent="0.45">
      <c r="B219" s="56" t="s">
        <v>361</v>
      </c>
      <c r="C219" s="36">
        <v>0.65700000000000003</v>
      </c>
      <c r="D219" s="36">
        <v>0.64100000000000001</v>
      </c>
      <c r="E219" s="36">
        <v>0.745</v>
      </c>
      <c r="F219" s="36">
        <v>0.627</v>
      </c>
      <c r="G219" s="52">
        <v>2.0199999999999999E-2</v>
      </c>
      <c r="K219" s="56" t="s">
        <v>362</v>
      </c>
      <c r="L219" s="52">
        <v>7.8E-2</v>
      </c>
      <c r="M219" s="36" t="s">
        <v>362</v>
      </c>
      <c r="N219" s="52">
        <v>2.86E-2</v>
      </c>
    </row>
    <row r="220" spans="2:14" x14ac:dyDescent="0.45">
      <c r="B220" s="58">
        <v>44109</v>
      </c>
      <c r="C220" s="36">
        <v>0.64400000000000002</v>
      </c>
      <c r="D220" s="36">
        <v>0.69399999999999995</v>
      </c>
      <c r="E220" s="36">
        <v>0.72799999999999998</v>
      </c>
      <c r="F220" s="36">
        <v>0.59</v>
      </c>
      <c r="G220" s="52">
        <v>-5.8900000000000001E-2</v>
      </c>
      <c r="K220" s="56" t="s">
        <v>363</v>
      </c>
      <c r="L220" s="52">
        <v>-8.9999999999999993E-3</v>
      </c>
      <c r="M220" s="36" t="s">
        <v>363</v>
      </c>
      <c r="N220" s="52">
        <v>-7.3000000000000001E-3</v>
      </c>
    </row>
    <row r="221" spans="2:14" x14ac:dyDescent="0.45">
      <c r="B221" s="58">
        <v>43895</v>
      </c>
      <c r="C221" s="36">
        <v>0.68500000000000005</v>
      </c>
      <c r="D221" s="36">
        <v>0.60499999999999998</v>
      </c>
      <c r="E221" s="36">
        <v>0.74299999999999999</v>
      </c>
      <c r="F221" s="36">
        <v>0.59599999999999997</v>
      </c>
      <c r="G221" s="52">
        <v>0.1077</v>
      </c>
      <c r="K221" s="56" t="s">
        <v>364</v>
      </c>
      <c r="L221" s="52">
        <v>7.0400000000000004E-2</v>
      </c>
      <c r="M221" s="36" t="s">
        <v>364</v>
      </c>
      <c r="N221" s="52">
        <v>5.7599999999999998E-2</v>
      </c>
    </row>
    <row r="222" spans="2:14" x14ac:dyDescent="0.45">
      <c r="B222" s="56" t="s">
        <v>365</v>
      </c>
      <c r="C222" s="36">
        <v>0.61799999999999999</v>
      </c>
      <c r="D222" s="36">
        <v>0.60499999999999998</v>
      </c>
      <c r="E222" s="36">
        <v>0.67300000000000004</v>
      </c>
      <c r="F222" s="36">
        <v>0.58099999999999996</v>
      </c>
      <c r="G222" s="52">
        <v>2.0799999999999999E-2</v>
      </c>
      <c r="K222" s="56" t="s">
        <v>366</v>
      </c>
      <c r="L222" s="52">
        <v>-2.2200000000000001E-2</v>
      </c>
      <c r="M222" s="36" t="s">
        <v>366</v>
      </c>
      <c r="N222" s="52">
        <v>-7.7999999999999996E-3</v>
      </c>
    </row>
    <row r="223" spans="2:14" x14ac:dyDescent="0.45">
      <c r="B223" s="56" t="s">
        <v>367</v>
      </c>
      <c r="C223" s="36">
        <v>0.60499999999999998</v>
      </c>
      <c r="D223" s="36">
        <v>0.64200000000000002</v>
      </c>
      <c r="E223" s="36">
        <v>0.65100000000000002</v>
      </c>
      <c r="F223" s="36">
        <v>0.54300000000000004</v>
      </c>
      <c r="G223" s="52">
        <v>-5.6399999999999999E-2</v>
      </c>
      <c r="K223" s="56" t="s">
        <v>368</v>
      </c>
      <c r="L223" s="52">
        <v>-1.26E-2</v>
      </c>
      <c r="M223" s="36" t="s">
        <v>368</v>
      </c>
      <c r="N223" s="52">
        <v>-5.1999999999999998E-3</v>
      </c>
    </row>
    <row r="224" spans="2:14" x14ac:dyDescent="0.45">
      <c r="B224" s="58">
        <v>44169</v>
      </c>
      <c r="C224" s="36">
        <v>0.64200000000000002</v>
      </c>
      <c r="D224" s="36">
        <v>0.72499999999999998</v>
      </c>
      <c r="E224" s="36">
        <v>0.77600000000000002</v>
      </c>
      <c r="F224" s="36">
        <v>0.58699999999999997</v>
      </c>
      <c r="G224" s="52">
        <v>-0.1193</v>
      </c>
      <c r="K224" s="56" t="s">
        <v>369</v>
      </c>
      <c r="L224" s="52">
        <v>0.13469999999999999</v>
      </c>
      <c r="M224" s="36" t="s">
        <v>369</v>
      </c>
      <c r="N224" s="52">
        <v>7.2099999999999997E-2</v>
      </c>
    </row>
    <row r="225" spans="2:14" x14ac:dyDescent="0.45">
      <c r="B225" s="58">
        <v>43955</v>
      </c>
      <c r="C225" s="36">
        <v>0.72899999999999998</v>
      </c>
      <c r="D225" s="36">
        <v>0.61699999999999999</v>
      </c>
      <c r="E225" s="36">
        <v>0.78500000000000003</v>
      </c>
      <c r="F225" s="36">
        <v>0.61199999999999999</v>
      </c>
      <c r="G225" s="52">
        <v>0.2155</v>
      </c>
      <c r="K225" s="56" t="s">
        <v>370</v>
      </c>
      <c r="L225" s="52">
        <v>9.6600000000000005E-2</v>
      </c>
      <c r="M225" s="36" t="s">
        <v>370</v>
      </c>
      <c r="N225" s="52">
        <v>9.4399999999999998E-2</v>
      </c>
    </row>
    <row r="226" spans="2:14" x14ac:dyDescent="0.45">
      <c r="B226" s="56" t="s">
        <v>371</v>
      </c>
      <c r="C226" s="36">
        <v>0.59899999999999998</v>
      </c>
      <c r="D226" s="36">
        <v>0.66700000000000004</v>
      </c>
      <c r="E226" s="36">
        <v>0.73099999999999998</v>
      </c>
      <c r="F226" s="36">
        <v>0.56799999999999995</v>
      </c>
      <c r="G226" s="52">
        <v>-0.11360000000000001</v>
      </c>
      <c r="K226" s="56" t="s">
        <v>372</v>
      </c>
      <c r="L226" s="52">
        <v>1.4E-3</v>
      </c>
      <c r="M226" s="36" t="s">
        <v>372</v>
      </c>
      <c r="N226" s="52">
        <v>-7.9000000000000008E-3</v>
      </c>
    </row>
    <row r="227" spans="2:14" x14ac:dyDescent="0.45">
      <c r="B227" s="56" t="s">
        <v>373</v>
      </c>
      <c r="C227" s="36">
        <v>0.67600000000000005</v>
      </c>
      <c r="D227" s="36">
        <v>0.79100000000000004</v>
      </c>
      <c r="E227" s="36">
        <v>0.89800000000000002</v>
      </c>
      <c r="F227" s="36">
        <v>0.67</v>
      </c>
      <c r="G227" s="52">
        <v>-0.23619999999999999</v>
      </c>
      <c r="K227" s="56" t="s">
        <v>374</v>
      </c>
      <c r="L227" s="52">
        <v>0.13070000000000001</v>
      </c>
      <c r="M227" s="36" t="s">
        <v>374</v>
      </c>
      <c r="N227" s="52">
        <v>8.4900000000000003E-2</v>
      </c>
    </row>
    <row r="228" spans="2:14" x14ac:dyDescent="0.45">
      <c r="B228" s="56" t="s">
        <v>375</v>
      </c>
      <c r="C228" s="36">
        <v>0.88500000000000001</v>
      </c>
      <c r="D228" s="36">
        <v>0.66800000000000004</v>
      </c>
      <c r="E228" s="36">
        <v>1.2829999999999999</v>
      </c>
      <c r="F228" s="36">
        <v>0.63400000000000001</v>
      </c>
      <c r="G228" s="52">
        <v>-9.9299999999999999E-2</v>
      </c>
      <c r="K228" s="56" t="s">
        <v>376</v>
      </c>
      <c r="L228" s="52">
        <v>-0.15310000000000001</v>
      </c>
      <c r="M228" s="36" t="s">
        <v>376</v>
      </c>
      <c r="N228" s="52">
        <v>-0.12520000000000001</v>
      </c>
    </row>
    <row r="229" spans="2:14" x14ac:dyDescent="0.45">
      <c r="B229" s="58">
        <v>44046</v>
      </c>
      <c r="C229" s="36">
        <v>0.98299999999999998</v>
      </c>
      <c r="D229" s="36">
        <v>0.501</v>
      </c>
      <c r="E229" s="36">
        <v>1.0229999999999999</v>
      </c>
      <c r="F229" s="36">
        <v>0.318</v>
      </c>
      <c r="G229" s="52">
        <v>0.27100000000000002</v>
      </c>
      <c r="K229" s="56" t="s">
        <v>377</v>
      </c>
      <c r="L229" s="52">
        <v>-5.6899999999999999E-2</v>
      </c>
      <c r="M229" s="36" t="s">
        <v>377</v>
      </c>
      <c r="N229" s="52">
        <v>-6.2700000000000006E-2</v>
      </c>
    </row>
    <row r="230" spans="2:14" x14ac:dyDescent="0.45">
      <c r="B230" s="58">
        <v>43833</v>
      </c>
      <c r="C230" s="36">
        <v>0.77300000000000002</v>
      </c>
      <c r="D230" s="36">
        <v>1.105</v>
      </c>
      <c r="E230" s="36">
        <v>1.173</v>
      </c>
      <c r="F230" s="36">
        <v>0.66</v>
      </c>
      <c r="G230" s="52">
        <v>-0.33529999999999999</v>
      </c>
      <c r="K230" s="56" t="s">
        <v>378</v>
      </c>
      <c r="L230" s="52">
        <v>-1.5E-3</v>
      </c>
      <c r="M230" s="36" t="s">
        <v>378</v>
      </c>
      <c r="N230" s="52">
        <v>8.0999999999999996E-3</v>
      </c>
    </row>
    <row r="231" spans="2:14" x14ac:dyDescent="0.45">
      <c r="B231" s="56" t="s">
        <v>379</v>
      </c>
      <c r="C231" s="36">
        <v>1.163</v>
      </c>
      <c r="D231" s="36">
        <v>1.456</v>
      </c>
      <c r="E231" s="36">
        <v>1.456</v>
      </c>
      <c r="F231" s="36">
        <v>1.1160000000000001</v>
      </c>
      <c r="G231" s="52">
        <v>-0.2102</v>
      </c>
      <c r="K231" s="56" t="s">
        <v>380</v>
      </c>
      <c r="L231" s="52">
        <v>-7.6300000000000007E-2</v>
      </c>
      <c r="M231" s="36" t="s">
        <v>380</v>
      </c>
      <c r="N231" s="52">
        <v>-0.1043</v>
      </c>
    </row>
    <row r="232" spans="2:14" x14ac:dyDescent="0.45">
      <c r="B232" s="56" t="s">
        <v>381</v>
      </c>
      <c r="C232" s="36">
        <v>1.4730000000000001</v>
      </c>
      <c r="D232" s="36">
        <v>1.5760000000000001</v>
      </c>
      <c r="E232" s="36">
        <v>1.587</v>
      </c>
      <c r="F232" s="36">
        <v>1.4390000000000001</v>
      </c>
      <c r="G232" s="52">
        <v>-7.2700000000000001E-2</v>
      </c>
      <c r="K232" s="56" t="s">
        <v>382</v>
      </c>
      <c r="L232" s="52">
        <v>-8.5800000000000001E-2</v>
      </c>
      <c r="M232" s="36" t="s">
        <v>382</v>
      </c>
      <c r="N232" s="52">
        <v>-1.84E-2</v>
      </c>
    </row>
    <row r="233" spans="2:14" x14ac:dyDescent="0.45">
      <c r="B233" s="58">
        <v>44076</v>
      </c>
      <c r="C233" s="36">
        <v>1.5880000000000001</v>
      </c>
      <c r="D233" s="36">
        <v>1.5609999999999999</v>
      </c>
      <c r="E233" s="36">
        <v>1.6379999999999999</v>
      </c>
      <c r="F233" s="36">
        <v>1.542</v>
      </c>
      <c r="G233" s="52">
        <v>4.1999999999999997E-3</v>
      </c>
      <c r="K233" s="56" t="s">
        <v>383</v>
      </c>
      <c r="L233" s="52">
        <v>5.8799999999999998E-2</v>
      </c>
      <c r="M233" s="36" t="s">
        <v>383</v>
      </c>
      <c r="N233" s="52">
        <v>2.3699999999999999E-2</v>
      </c>
    </row>
    <row r="234" spans="2:14" x14ac:dyDescent="0.45">
      <c r="B234" s="58">
        <v>43863</v>
      </c>
      <c r="C234" s="36">
        <v>1.5820000000000001</v>
      </c>
      <c r="D234" s="36">
        <v>1.514</v>
      </c>
      <c r="E234" s="36">
        <v>1.6839999999999999</v>
      </c>
      <c r="F234" s="36">
        <v>1.512</v>
      </c>
      <c r="G234" s="52">
        <v>5.0900000000000001E-2</v>
      </c>
      <c r="K234" s="56" t="s">
        <v>384</v>
      </c>
      <c r="L234" s="52">
        <v>4.5900000000000003E-2</v>
      </c>
      <c r="M234" s="36" t="s">
        <v>384</v>
      </c>
      <c r="N234" s="52">
        <v>4.5600000000000002E-2</v>
      </c>
    </row>
    <row r="235" spans="2:14" x14ac:dyDescent="0.45">
      <c r="B235" s="56" t="s">
        <v>385</v>
      </c>
      <c r="C235" s="36">
        <v>1.5049999999999999</v>
      </c>
      <c r="D235" s="36">
        <v>1.63</v>
      </c>
      <c r="E235" s="36">
        <v>1.667</v>
      </c>
      <c r="F235" s="36">
        <v>1.5029999999999999</v>
      </c>
      <c r="G235" s="52">
        <v>-0.1071</v>
      </c>
      <c r="K235" s="56" t="s">
        <v>386</v>
      </c>
      <c r="L235" s="52">
        <v>-4.2500000000000003E-2</v>
      </c>
      <c r="M235" s="36" t="s">
        <v>386</v>
      </c>
      <c r="N235" s="52">
        <v>-1.6400000000000001E-2</v>
      </c>
    </row>
    <row r="236" spans="2:14" x14ac:dyDescent="0.45">
      <c r="B236" s="56" t="s">
        <v>387</v>
      </c>
      <c r="C236" s="36">
        <v>1.6859999999999999</v>
      </c>
      <c r="D236" s="36">
        <v>1.823</v>
      </c>
      <c r="E236" s="36">
        <v>1.825</v>
      </c>
      <c r="F236" s="36">
        <v>1.67</v>
      </c>
      <c r="G236" s="52">
        <v>-7.6300000000000007E-2</v>
      </c>
      <c r="K236" s="56" t="s">
        <v>388</v>
      </c>
      <c r="L236" s="52">
        <v>1.44E-2</v>
      </c>
      <c r="M236" s="36" t="s">
        <v>388</v>
      </c>
      <c r="N236" s="52">
        <v>-3.5000000000000001E-3</v>
      </c>
    </row>
    <row r="237" spans="2:14" x14ac:dyDescent="0.45">
      <c r="B237" s="58">
        <v>44166</v>
      </c>
      <c r="C237" s="36">
        <v>1.825</v>
      </c>
      <c r="D237" s="36">
        <v>1.82</v>
      </c>
      <c r="E237" s="36">
        <v>1.863</v>
      </c>
      <c r="F237" s="36">
        <v>1.776</v>
      </c>
      <c r="G237" s="52">
        <v>3.0000000000000001E-3</v>
      </c>
      <c r="K237" s="56" t="s">
        <v>389</v>
      </c>
      <c r="L237" s="52">
        <v>2.29E-2</v>
      </c>
      <c r="M237" s="36" t="s">
        <v>389</v>
      </c>
      <c r="N237" s="52">
        <v>2.3099999999999999E-2</v>
      </c>
    </row>
    <row r="238" spans="2:14" x14ac:dyDescent="0.45">
      <c r="B238" s="58">
        <v>43952</v>
      </c>
      <c r="C238" s="36">
        <v>1.82</v>
      </c>
      <c r="D238" s="36">
        <v>1.7689999999999999</v>
      </c>
      <c r="E238" s="36">
        <v>1.9</v>
      </c>
      <c r="F238" s="36">
        <v>1.7050000000000001</v>
      </c>
      <c r="G238" s="52">
        <v>1.47E-2</v>
      </c>
      <c r="K238" s="56" t="s">
        <v>390</v>
      </c>
      <c r="L238" s="52">
        <v>4.7300000000000002E-2</v>
      </c>
      <c r="M238" s="36" t="s">
        <v>390</v>
      </c>
      <c r="N238" s="52">
        <v>1.9599999999999999E-2</v>
      </c>
    </row>
    <row r="239" spans="2:14" x14ac:dyDescent="0.45">
      <c r="B239" s="56" t="s">
        <v>391</v>
      </c>
      <c r="C239" s="36">
        <v>1.7929999999999999</v>
      </c>
      <c r="D239" s="36">
        <v>1.875</v>
      </c>
      <c r="E239" s="36">
        <v>1.946</v>
      </c>
      <c r="F239" s="36">
        <v>1.786</v>
      </c>
      <c r="G239" s="52">
        <v>-4.4600000000000001E-2</v>
      </c>
      <c r="K239" s="56" t="s">
        <v>392</v>
      </c>
      <c r="L239" s="52">
        <v>8.0999999999999996E-3</v>
      </c>
      <c r="M239" s="36" t="s">
        <v>392</v>
      </c>
      <c r="N239" s="52">
        <v>2.5999999999999999E-3</v>
      </c>
    </row>
    <row r="240" spans="2:14" x14ac:dyDescent="0.45">
      <c r="B240" s="56" t="s">
        <v>393</v>
      </c>
      <c r="C240" s="36">
        <v>1.877</v>
      </c>
      <c r="D240" s="36">
        <v>1.921</v>
      </c>
      <c r="E240" s="36">
        <v>1.9490000000000001</v>
      </c>
      <c r="F240" s="36">
        <v>1.87</v>
      </c>
      <c r="G240" s="52">
        <v>-2.18E-2</v>
      </c>
      <c r="K240" s="56" t="s">
        <v>394</v>
      </c>
      <c r="L240" s="52">
        <v>5.3E-3</v>
      </c>
      <c r="M240" s="36" t="s">
        <v>394</v>
      </c>
      <c r="N240" s="52">
        <v>1.0699999999999999E-2</v>
      </c>
    </row>
    <row r="241" spans="2:14" x14ac:dyDescent="0.45">
      <c r="B241" s="56" t="s">
        <v>395</v>
      </c>
      <c r="C241" s="36">
        <v>1.919</v>
      </c>
      <c r="D241" s="36">
        <v>1.833</v>
      </c>
      <c r="E241" s="36">
        <v>1.952</v>
      </c>
      <c r="F241" s="36">
        <v>1.829</v>
      </c>
      <c r="G241" s="52">
        <v>5.1799999999999999E-2</v>
      </c>
      <c r="K241" s="56" t="s">
        <v>396</v>
      </c>
      <c r="L241" s="52">
        <v>2.3300000000000001E-2</v>
      </c>
      <c r="M241" s="36" t="s">
        <v>396</v>
      </c>
      <c r="N241" s="52">
        <v>2.2499999999999999E-2</v>
      </c>
    </row>
    <row r="242" spans="2:14" x14ac:dyDescent="0.45">
      <c r="B242" s="58">
        <v>43689</v>
      </c>
      <c r="C242" s="36">
        <v>1.8240000000000001</v>
      </c>
      <c r="D242" s="36">
        <v>1.843</v>
      </c>
      <c r="E242" s="36">
        <v>1.95</v>
      </c>
      <c r="F242" s="36">
        <v>1.778</v>
      </c>
      <c r="G242" s="52">
        <v>-1.03E-2</v>
      </c>
      <c r="K242" s="56" t="s">
        <v>397</v>
      </c>
      <c r="L242" s="52">
        <v>1.8599999999999998E-2</v>
      </c>
      <c r="M242" s="36" t="s">
        <v>397</v>
      </c>
      <c r="N242" s="52">
        <v>1.0800000000000001E-2</v>
      </c>
    </row>
    <row r="243" spans="2:14" x14ac:dyDescent="0.45">
      <c r="B243" s="58">
        <v>43477</v>
      </c>
      <c r="C243" s="36">
        <v>1.843</v>
      </c>
      <c r="D243" s="36">
        <v>1.796</v>
      </c>
      <c r="E243" s="36">
        <v>1.8640000000000001</v>
      </c>
      <c r="F243" s="36">
        <v>1.6930000000000001</v>
      </c>
      <c r="G243" s="52">
        <v>3.9100000000000003E-2</v>
      </c>
      <c r="K243" s="56" t="s">
        <v>398</v>
      </c>
      <c r="L243" s="52">
        <v>-4.8399999999999999E-2</v>
      </c>
      <c r="M243" s="36" t="s">
        <v>398</v>
      </c>
      <c r="N243" s="52">
        <v>-8.0000000000000004E-4</v>
      </c>
    </row>
    <row r="244" spans="2:14" x14ac:dyDescent="0.45">
      <c r="B244" s="56" t="s">
        <v>399</v>
      </c>
      <c r="C244" s="36">
        <v>1.774</v>
      </c>
      <c r="D244" s="36">
        <v>1.7769999999999999</v>
      </c>
      <c r="E244" s="36">
        <v>1.796</v>
      </c>
      <c r="F244" s="36">
        <v>1.7310000000000001</v>
      </c>
      <c r="G244" s="52">
        <v>1.9E-3</v>
      </c>
      <c r="K244" s="56" t="s">
        <v>400</v>
      </c>
      <c r="L244" s="52">
        <v>4.1799999999999997E-2</v>
      </c>
      <c r="M244" s="36" t="s">
        <v>400</v>
      </c>
      <c r="N244" s="52">
        <v>1.5900000000000001E-2</v>
      </c>
    </row>
    <row r="245" spans="2:14" x14ac:dyDescent="0.45">
      <c r="B245" s="56" t="s">
        <v>401</v>
      </c>
      <c r="C245" s="36">
        <v>1.7709999999999999</v>
      </c>
      <c r="D245" s="36">
        <v>1.8260000000000001</v>
      </c>
      <c r="E245" s="36">
        <v>1.857</v>
      </c>
      <c r="F245" s="36">
        <v>1.7070000000000001</v>
      </c>
      <c r="G245" s="52">
        <v>-3.56E-2</v>
      </c>
      <c r="K245" s="56" t="s">
        <v>402</v>
      </c>
      <c r="L245" s="52">
        <v>-3.1E-2</v>
      </c>
      <c r="M245" s="36" t="s">
        <v>402</v>
      </c>
      <c r="N245" s="52">
        <v>-5.1999999999999998E-3</v>
      </c>
    </row>
    <row r="246" spans="2:14" x14ac:dyDescent="0.45">
      <c r="B246" s="58">
        <v>43749</v>
      </c>
      <c r="C246" s="36">
        <v>1.8360000000000001</v>
      </c>
      <c r="D246" s="36">
        <v>1.923</v>
      </c>
      <c r="E246" s="36">
        <v>1.9590000000000001</v>
      </c>
      <c r="F246" s="36">
        <v>1.8049999999999999</v>
      </c>
      <c r="G246" s="52">
        <v>-5.6099999999999997E-2</v>
      </c>
      <c r="K246" s="56" t="s">
        <v>403</v>
      </c>
      <c r="L246" s="52">
        <v>2.5700000000000001E-2</v>
      </c>
      <c r="M246" s="36" t="s">
        <v>403</v>
      </c>
      <c r="N246" s="52">
        <v>7.1999999999999998E-3</v>
      </c>
    </row>
    <row r="247" spans="2:14" x14ac:dyDescent="0.45">
      <c r="B247" s="58">
        <v>43535</v>
      </c>
      <c r="C247" s="36">
        <v>1.9450000000000001</v>
      </c>
      <c r="D247" s="36">
        <v>1.754</v>
      </c>
      <c r="E247" s="36">
        <v>1.9730000000000001</v>
      </c>
      <c r="F247" s="36">
        <v>1.74</v>
      </c>
      <c r="G247" s="52">
        <v>0.13500000000000001</v>
      </c>
      <c r="K247" s="56" t="s">
        <v>404</v>
      </c>
      <c r="L247" s="52">
        <v>8.0000000000000004E-4</v>
      </c>
      <c r="M247" s="36" t="s">
        <v>404</v>
      </c>
      <c r="N247" s="52">
        <v>1.1599999999999999E-2</v>
      </c>
    </row>
    <row r="248" spans="2:14" x14ac:dyDescent="0.45">
      <c r="B248" s="56" t="s">
        <v>405</v>
      </c>
      <c r="C248" s="36">
        <v>1.714</v>
      </c>
      <c r="D248" s="36">
        <v>1.8029999999999999</v>
      </c>
      <c r="E248" s="36">
        <v>1.86</v>
      </c>
      <c r="F248" s="36">
        <v>1.67</v>
      </c>
      <c r="G248" s="52">
        <v>-4.7600000000000003E-2</v>
      </c>
      <c r="K248" s="56" t="s">
        <v>406</v>
      </c>
      <c r="L248" s="52">
        <v>-7.6E-3</v>
      </c>
      <c r="M248" s="36" t="s">
        <v>406</v>
      </c>
      <c r="N248" s="52">
        <v>1.6400000000000001E-2</v>
      </c>
    </row>
    <row r="249" spans="2:14" x14ac:dyDescent="0.45">
      <c r="B249" s="56" t="s">
        <v>407</v>
      </c>
      <c r="C249" s="36">
        <v>1.7989999999999999</v>
      </c>
      <c r="D249" s="36">
        <v>1.74</v>
      </c>
      <c r="E249" s="36">
        <v>1.8140000000000001</v>
      </c>
      <c r="F249" s="36">
        <v>1.7310000000000001</v>
      </c>
      <c r="G249" s="52">
        <v>2.6200000000000001E-2</v>
      </c>
      <c r="K249" s="56" t="s">
        <v>408</v>
      </c>
      <c r="L249" s="52">
        <v>1.6199999999999999E-2</v>
      </c>
      <c r="M249" s="36" t="s">
        <v>408</v>
      </c>
      <c r="N249" s="52">
        <v>2.0400000000000001E-2</v>
      </c>
    </row>
    <row r="250" spans="2:14" x14ac:dyDescent="0.45">
      <c r="B250" s="56" t="s">
        <v>409</v>
      </c>
      <c r="C250" s="36">
        <v>1.754</v>
      </c>
      <c r="D250" s="36">
        <v>1.7130000000000001</v>
      </c>
      <c r="E250" s="36">
        <v>1.7989999999999999</v>
      </c>
      <c r="F250" s="36">
        <v>1.675</v>
      </c>
      <c r="G250" s="52">
        <v>1.12E-2</v>
      </c>
      <c r="K250" s="56" t="s">
        <v>410</v>
      </c>
      <c r="L250" s="52">
        <v>-2.64E-2</v>
      </c>
      <c r="M250" s="36" t="s">
        <v>410</v>
      </c>
      <c r="N250" s="52">
        <v>3.0999999999999999E-3</v>
      </c>
    </row>
    <row r="251" spans="2:14" x14ac:dyDescent="0.45">
      <c r="B251" s="58">
        <v>43626</v>
      </c>
      <c r="C251" s="36">
        <v>1.734</v>
      </c>
      <c r="D251" s="36">
        <v>1.5149999999999999</v>
      </c>
      <c r="E251" s="36">
        <v>1.7669999999999999</v>
      </c>
      <c r="F251" s="36">
        <v>1.5049999999999999</v>
      </c>
      <c r="G251" s="52">
        <v>0.13420000000000001</v>
      </c>
      <c r="K251" s="56" t="s">
        <v>411</v>
      </c>
      <c r="L251" s="52">
        <v>-1.1999999999999999E-3</v>
      </c>
      <c r="M251" s="36" t="s">
        <v>411</v>
      </c>
      <c r="N251" s="52">
        <v>1.1599999999999999E-2</v>
      </c>
    </row>
    <row r="252" spans="2:14" x14ac:dyDescent="0.45">
      <c r="B252" s="56" t="s">
        <v>412</v>
      </c>
      <c r="C252" s="36">
        <v>1.5289999999999999</v>
      </c>
      <c r="D252" s="36">
        <v>1.6850000000000001</v>
      </c>
      <c r="E252" s="36">
        <v>1.7569999999999999</v>
      </c>
      <c r="F252" s="36">
        <v>1.5069999999999999</v>
      </c>
      <c r="G252" s="52">
        <v>-9.3700000000000006E-2</v>
      </c>
      <c r="K252" s="56" t="s">
        <v>413</v>
      </c>
      <c r="L252" s="52">
        <v>1.89E-2</v>
      </c>
      <c r="M252" s="36" t="s">
        <v>413</v>
      </c>
      <c r="N252" s="52">
        <v>9.4000000000000004E-3</v>
      </c>
    </row>
    <row r="253" spans="2:14" x14ac:dyDescent="0.45">
      <c r="B253" s="56" t="s">
        <v>414</v>
      </c>
      <c r="C253" s="36">
        <v>1.6870000000000001</v>
      </c>
      <c r="D253" s="36">
        <v>1.7370000000000001</v>
      </c>
      <c r="E253" s="36">
        <v>1.7669999999999999</v>
      </c>
      <c r="F253" s="36">
        <v>1.6279999999999999</v>
      </c>
      <c r="G253" s="52">
        <v>-0.02</v>
      </c>
      <c r="K253" s="56" t="s">
        <v>415</v>
      </c>
      <c r="L253" s="52">
        <v>3.5999999999999999E-3</v>
      </c>
      <c r="M253" s="36" t="s">
        <v>415</v>
      </c>
      <c r="N253" s="52">
        <v>-1.8100000000000002E-2</v>
      </c>
    </row>
    <row r="254" spans="2:14" x14ac:dyDescent="0.45">
      <c r="B254" s="56" t="s">
        <v>416</v>
      </c>
      <c r="C254" s="36">
        <v>1.722</v>
      </c>
      <c r="D254" s="36">
        <v>1.899</v>
      </c>
      <c r="E254" s="36">
        <v>1.899</v>
      </c>
      <c r="F254" s="36">
        <v>1.716</v>
      </c>
      <c r="G254" s="52">
        <v>-9.4500000000000001E-2</v>
      </c>
      <c r="K254" s="56" t="s">
        <v>417</v>
      </c>
      <c r="L254" s="52">
        <v>8.0000000000000002E-3</v>
      </c>
      <c r="M254" s="36" t="s">
        <v>417</v>
      </c>
      <c r="N254" s="52">
        <v>-8.8000000000000005E-3</v>
      </c>
    </row>
    <row r="255" spans="2:14" x14ac:dyDescent="0.45">
      <c r="B255" s="58">
        <v>43686</v>
      </c>
      <c r="C255" s="36">
        <v>1.901</v>
      </c>
      <c r="D255" s="36">
        <v>1.5589999999999999</v>
      </c>
      <c r="E255" s="36">
        <v>1.9079999999999999</v>
      </c>
      <c r="F255" s="36">
        <v>1.5529999999999999</v>
      </c>
      <c r="G255" s="52">
        <v>0.2185</v>
      </c>
      <c r="K255" s="56" t="s">
        <v>418</v>
      </c>
      <c r="L255" s="52">
        <v>-7.4700000000000003E-2</v>
      </c>
      <c r="M255" s="36" t="s">
        <v>418</v>
      </c>
      <c r="N255" s="52">
        <v>5.1000000000000004E-3</v>
      </c>
    </row>
    <row r="256" spans="2:14" x14ac:dyDescent="0.45">
      <c r="B256" s="58">
        <v>43474</v>
      </c>
      <c r="C256" s="36">
        <v>1.56</v>
      </c>
      <c r="D256" s="36">
        <v>1.508</v>
      </c>
      <c r="E256" s="36">
        <v>1.6080000000000001</v>
      </c>
      <c r="F256" s="36">
        <v>1.429</v>
      </c>
      <c r="G256" s="52">
        <v>4.0500000000000001E-2</v>
      </c>
      <c r="K256" s="56" t="s">
        <v>419</v>
      </c>
      <c r="L256" s="52">
        <v>2.6100000000000002E-2</v>
      </c>
      <c r="M256" s="36" t="s">
        <v>419</v>
      </c>
      <c r="N256" s="52">
        <v>2.1000000000000001E-2</v>
      </c>
    </row>
    <row r="257" spans="2:14" x14ac:dyDescent="0.45">
      <c r="B257" s="56" t="s">
        <v>420</v>
      </c>
      <c r="C257" s="36">
        <v>1.4990000000000001</v>
      </c>
      <c r="D257" s="36">
        <v>1.478</v>
      </c>
      <c r="E257" s="36">
        <v>1.5489999999999999</v>
      </c>
      <c r="F257" s="36">
        <v>1.4430000000000001</v>
      </c>
      <c r="G257" s="52">
        <v>-2.2200000000000001E-2</v>
      </c>
      <c r="K257" s="56" t="s">
        <v>421</v>
      </c>
      <c r="L257" s="52">
        <v>5.0099999999999999E-2</v>
      </c>
      <c r="M257" s="36" t="s">
        <v>421</v>
      </c>
      <c r="N257" s="52">
        <v>3.0300000000000001E-2</v>
      </c>
    </row>
    <row r="258" spans="2:14" x14ac:dyDescent="0.45">
      <c r="B258" s="56" t="s">
        <v>422</v>
      </c>
      <c r="C258" s="36">
        <v>1.5329999999999999</v>
      </c>
      <c r="D258" s="36">
        <v>1.5720000000000001</v>
      </c>
      <c r="E258" s="36">
        <v>1.663</v>
      </c>
      <c r="F258" s="36">
        <v>1.506</v>
      </c>
      <c r="G258" s="52">
        <v>-1.8499999999999999E-2</v>
      </c>
      <c r="K258" s="56" t="s">
        <v>423</v>
      </c>
      <c r="L258" s="52">
        <v>4.7100000000000003E-2</v>
      </c>
      <c r="M258" s="36" t="s">
        <v>423</v>
      </c>
      <c r="N258" s="52">
        <v>-1.83E-2</v>
      </c>
    </row>
    <row r="259" spans="2:14" x14ac:dyDescent="0.45">
      <c r="B259" s="58">
        <v>43777</v>
      </c>
      <c r="C259" s="36">
        <v>1.5620000000000001</v>
      </c>
      <c r="D259" s="36">
        <v>1.748</v>
      </c>
      <c r="E259" s="36">
        <v>1.748</v>
      </c>
      <c r="F259" s="36">
        <v>1.4750000000000001</v>
      </c>
      <c r="G259" s="52">
        <v>-0.1045</v>
      </c>
      <c r="K259" s="56" t="s">
        <v>424</v>
      </c>
      <c r="L259" s="52">
        <v>-1.54E-2</v>
      </c>
      <c r="M259" s="36" t="s">
        <v>424</v>
      </c>
      <c r="N259" s="52">
        <v>-5.4999999999999997E-3</v>
      </c>
    </row>
    <row r="260" spans="2:14" x14ac:dyDescent="0.45">
      <c r="B260" s="58">
        <v>43563</v>
      </c>
      <c r="C260" s="36">
        <v>1.7450000000000001</v>
      </c>
      <c r="D260" s="36">
        <v>1.855</v>
      </c>
      <c r="E260" s="36">
        <v>1.859</v>
      </c>
      <c r="F260" s="36">
        <v>1.595</v>
      </c>
      <c r="G260" s="52">
        <v>-5.3499999999999999E-2</v>
      </c>
      <c r="K260" s="56" t="s">
        <v>425</v>
      </c>
      <c r="L260" s="52">
        <v>1.2800000000000001E-2</v>
      </c>
      <c r="M260" s="36" t="s">
        <v>425</v>
      </c>
      <c r="N260" s="52">
        <v>-6.0000000000000001E-3</v>
      </c>
    </row>
    <row r="261" spans="2:14" x14ac:dyDescent="0.45">
      <c r="B261" s="56" t="s">
        <v>426</v>
      </c>
      <c r="C261" s="36">
        <v>1.843</v>
      </c>
      <c r="D261" s="36">
        <v>2.0670000000000002</v>
      </c>
      <c r="E261" s="36">
        <v>2.0750000000000002</v>
      </c>
      <c r="F261" s="36">
        <v>1.8320000000000001</v>
      </c>
      <c r="G261" s="52">
        <v>-0.1111</v>
      </c>
      <c r="K261" s="56" t="s">
        <v>427</v>
      </c>
      <c r="L261" s="52">
        <v>-5.6500000000000002E-2</v>
      </c>
      <c r="M261" s="36" t="s">
        <v>427</v>
      </c>
      <c r="N261" s="52">
        <v>-4.0399999999999998E-2</v>
      </c>
    </row>
    <row r="262" spans="2:14" x14ac:dyDescent="0.45">
      <c r="B262" s="56" t="s">
        <v>428</v>
      </c>
      <c r="C262" s="36">
        <v>2.0739999999999998</v>
      </c>
      <c r="D262" s="36">
        <v>2.0569999999999999</v>
      </c>
      <c r="E262" s="36">
        <v>2.1</v>
      </c>
      <c r="F262" s="36">
        <v>2.0110000000000001</v>
      </c>
      <c r="G262" s="52">
        <v>8.2000000000000007E-3</v>
      </c>
      <c r="K262" s="56" t="s">
        <v>429</v>
      </c>
      <c r="L262" s="52">
        <v>1.5599999999999999E-2</v>
      </c>
      <c r="M262" s="36" t="s">
        <v>429</v>
      </c>
      <c r="N262" s="52">
        <v>2.3199999999999998E-2</v>
      </c>
    </row>
    <row r="263" spans="2:14" x14ac:dyDescent="0.45">
      <c r="B263" s="56" t="s">
        <v>430</v>
      </c>
      <c r="C263" s="36">
        <v>2.0569999999999999</v>
      </c>
      <c r="D263" s="36">
        <v>2.15</v>
      </c>
      <c r="E263" s="36">
        <v>2.15</v>
      </c>
      <c r="F263" s="36">
        <v>2.0230000000000001</v>
      </c>
      <c r="G263" s="52">
        <v>-3.15E-2</v>
      </c>
      <c r="K263" s="56" t="s">
        <v>431</v>
      </c>
      <c r="L263" s="52">
        <v>-1.7600000000000001E-2</v>
      </c>
      <c r="M263" s="36" t="s">
        <v>431</v>
      </c>
      <c r="N263" s="52">
        <v>-1.3599999999999999E-2</v>
      </c>
    </row>
    <row r="264" spans="2:14" x14ac:dyDescent="0.45">
      <c r="B264" s="58">
        <v>43653</v>
      </c>
      <c r="C264" s="36">
        <v>2.1240000000000001</v>
      </c>
      <c r="D264" s="36">
        <v>2.0409999999999999</v>
      </c>
      <c r="E264" s="36">
        <v>2.15</v>
      </c>
      <c r="F264" s="36">
        <v>2.0099999999999998</v>
      </c>
      <c r="G264" s="52">
        <v>4.1500000000000002E-2</v>
      </c>
      <c r="K264" s="56" t="s">
        <v>432</v>
      </c>
      <c r="L264" s="52">
        <v>1.4800000000000001E-2</v>
      </c>
      <c r="M264" s="36" t="s">
        <v>432</v>
      </c>
      <c r="N264" s="52">
        <v>1.2999999999999999E-2</v>
      </c>
    </row>
    <row r="265" spans="2:14" x14ac:dyDescent="0.45">
      <c r="B265" s="56" t="s">
        <v>433</v>
      </c>
      <c r="C265" s="36">
        <v>2.0390000000000001</v>
      </c>
      <c r="D265" s="36">
        <v>2.0449999999999999</v>
      </c>
      <c r="E265" s="36">
        <v>2.0680000000000001</v>
      </c>
      <c r="F265" s="36">
        <v>1.9390000000000001</v>
      </c>
      <c r="G265" s="52">
        <v>1.6E-2</v>
      </c>
      <c r="K265" s="56" t="s">
        <v>434</v>
      </c>
      <c r="L265" s="52">
        <v>5.21E-2</v>
      </c>
      <c r="M265" s="36" t="s">
        <v>434</v>
      </c>
      <c r="N265" s="52">
        <v>2.2200000000000001E-2</v>
      </c>
    </row>
    <row r="266" spans="2:14" x14ac:dyDescent="0.45">
      <c r="B266" s="56" t="s">
        <v>435</v>
      </c>
      <c r="C266" s="36">
        <v>2.0070000000000001</v>
      </c>
      <c r="D266" s="36">
        <v>2.0590000000000002</v>
      </c>
      <c r="E266" s="36">
        <v>2.073</v>
      </c>
      <c r="F266" s="36">
        <v>1.982</v>
      </c>
      <c r="G266" s="52">
        <v>-2.5399999999999999E-2</v>
      </c>
      <c r="K266" s="56" t="s">
        <v>436</v>
      </c>
      <c r="L266" s="52">
        <v>-1.1999999999999999E-3</v>
      </c>
      <c r="M266" s="36" t="s">
        <v>436</v>
      </c>
      <c r="N266" s="52">
        <v>-7.4999999999999997E-3</v>
      </c>
    </row>
    <row r="267" spans="2:14" x14ac:dyDescent="0.45">
      <c r="B267" s="56" t="s">
        <v>437</v>
      </c>
      <c r="C267" s="36">
        <v>2.0590000000000002</v>
      </c>
      <c r="D267" s="36">
        <v>2.0920000000000001</v>
      </c>
      <c r="E267" s="36">
        <v>2.1150000000000002</v>
      </c>
      <c r="F267" s="36">
        <v>1.974</v>
      </c>
      <c r="G267" s="52">
        <v>-1.1900000000000001E-2</v>
      </c>
      <c r="K267" s="56" t="s">
        <v>438</v>
      </c>
      <c r="L267" s="52">
        <v>3.2399999999999998E-2</v>
      </c>
      <c r="M267" s="36" t="s">
        <v>438</v>
      </c>
      <c r="N267" s="52">
        <v>3.3399999999999999E-2</v>
      </c>
    </row>
    <row r="268" spans="2:14" x14ac:dyDescent="0.45">
      <c r="B268" s="58">
        <v>43714</v>
      </c>
      <c r="C268" s="36">
        <v>2.0840000000000001</v>
      </c>
      <c r="D268" s="36">
        <v>2.1219999999999999</v>
      </c>
      <c r="E268" s="36">
        <v>2.1779999999999999</v>
      </c>
      <c r="F268" s="36">
        <v>2.0579999999999998</v>
      </c>
      <c r="G268" s="52">
        <v>0</v>
      </c>
      <c r="K268" s="56" t="s">
        <v>439</v>
      </c>
      <c r="L268" s="52">
        <v>7.3000000000000001E-3</v>
      </c>
      <c r="M268" s="36" t="s">
        <v>439</v>
      </c>
      <c r="N268" s="52">
        <v>8.3000000000000001E-3</v>
      </c>
    </row>
  </sheetData>
  <hyperlinks>
    <hyperlink ref="C4" r:id="rId1" display="https://www.investing.com/rates-bonds/u.s.-10-year-bond-yield-historical-data" xr:uid="{A0CD2CAF-7AEF-44CB-8A33-3857B9FDEF1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96D3-CB4C-4917-A92E-0844EDA66EF3}">
  <dimension ref="B2:O27"/>
  <sheetViews>
    <sheetView zoomScaleNormal="100" workbookViewId="0">
      <selection activeCell="C5" sqref="C5"/>
    </sheetView>
  </sheetViews>
  <sheetFormatPr baseColWidth="10" defaultColWidth="8.8203125" defaultRowHeight="13" x14ac:dyDescent="0.45"/>
  <cols>
    <col min="1" max="1" width="8.8203125" style="36"/>
    <col min="2" max="2" width="23.46875" style="36" bestFit="1" customWidth="1"/>
    <col min="3" max="3" width="15" style="36" bestFit="1" customWidth="1"/>
    <col min="4" max="4" width="12.17578125" style="36" bestFit="1" customWidth="1"/>
    <col min="5" max="5" width="15.46875" style="36" bestFit="1" customWidth="1"/>
    <col min="6" max="6" width="11.3515625" style="36" bestFit="1" customWidth="1"/>
    <col min="7" max="9" width="8.8203125" style="36"/>
    <col min="10" max="10" width="10.17578125" style="36" bestFit="1" customWidth="1"/>
    <col min="11" max="11" width="7.8203125" style="36" bestFit="1" customWidth="1"/>
    <col min="12" max="12" width="10.17578125" style="36" bestFit="1" customWidth="1"/>
    <col min="13" max="13" width="7.8203125" style="36" bestFit="1" customWidth="1"/>
    <col min="14" max="14" width="8.8203125" style="36"/>
    <col min="15" max="15" width="23.64453125" style="36" bestFit="1" customWidth="1"/>
    <col min="16" max="16384" width="8.8203125" style="36"/>
  </cols>
  <sheetData>
    <row r="2" spans="2:6" ht="15.7" x14ac:dyDescent="0.55000000000000004">
      <c r="B2" s="194" t="s">
        <v>440</v>
      </c>
      <c r="C2" s="37"/>
    </row>
    <row r="3" spans="2:6" x14ac:dyDescent="0.45">
      <c r="C3" s="38"/>
    </row>
    <row r="4" spans="2:6" x14ac:dyDescent="0.45">
      <c r="B4" s="36" t="s">
        <v>441</v>
      </c>
      <c r="C4" s="39">
        <f>'Time Series'!C4%</f>
        <v>4.2779999999999999E-2</v>
      </c>
    </row>
    <row r="5" spans="2:6" x14ac:dyDescent="0.45">
      <c r="B5" s="36" t="s">
        <v>442</v>
      </c>
      <c r="C5" s="62">
        <v>4.5999999999999999E-2</v>
      </c>
    </row>
    <row r="6" spans="2:6" x14ac:dyDescent="0.45">
      <c r="B6" s="36" t="s">
        <v>19</v>
      </c>
      <c r="C6" s="40">
        <f>'Time Series'!Q6</f>
        <v>1.1715691439763323</v>
      </c>
    </row>
    <row r="8" spans="2:6" x14ac:dyDescent="0.45">
      <c r="B8" s="36" t="s">
        <v>443</v>
      </c>
      <c r="C8" s="62">
        <v>0</v>
      </c>
    </row>
    <row r="10" spans="2:6" x14ac:dyDescent="0.45">
      <c r="B10" s="41" t="s">
        <v>444</v>
      </c>
      <c r="C10" s="42">
        <f>C4+C5*C6</f>
        <v>9.6672180622911275E-2</v>
      </c>
    </row>
    <row r="12" spans="2:6" x14ac:dyDescent="0.45">
      <c r="B12" s="36" t="s">
        <v>445</v>
      </c>
      <c r="C12" s="62">
        <v>1.21E-2</v>
      </c>
    </row>
    <row r="13" spans="2:6" x14ac:dyDescent="0.45">
      <c r="F13" s="50"/>
    </row>
    <row r="14" spans="2:6" x14ac:dyDescent="0.45">
      <c r="B14" s="41" t="s">
        <v>446</v>
      </c>
      <c r="C14" s="42">
        <f>C4+C12</f>
        <v>5.4879999999999998E-2</v>
      </c>
    </row>
    <row r="15" spans="2:6" x14ac:dyDescent="0.45">
      <c r="F15" s="63"/>
    </row>
    <row r="16" spans="2:6" x14ac:dyDescent="0.45">
      <c r="B16" s="36" t="s">
        <v>447</v>
      </c>
      <c r="C16" s="62">
        <v>0.17849999999999999</v>
      </c>
    </row>
    <row r="17" spans="2:15" x14ac:dyDescent="0.45">
      <c r="O17" s="51"/>
    </row>
    <row r="18" spans="2:15" x14ac:dyDescent="0.45">
      <c r="B18" s="41" t="s">
        <v>448</v>
      </c>
      <c r="C18" s="42">
        <f>C14*(1-C16)</f>
        <v>4.508392E-2</v>
      </c>
    </row>
    <row r="19" spans="2:15" x14ac:dyDescent="0.45">
      <c r="E19" s="228"/>
      <c r="F19" s="228"/>
    </row>
    <row r="20" spans="2:15" x14ac:dyDescent="0.45">
      <c r="B20" s="36" t="s">
        <v>449</v>
      </c>
      <c r="C20" s="43">
        <f>F20*F21</f>
        <v>93546403.540219992</v>
      </c>
      <c r="E20" s="306" t="s">
        <v>450</v>
      </c>
      <c r="F20" s="307">
        <v>615.49</v>
      </c>
    </row>
    <row r="21" spans="2:15" x14ac:dyDescent="0.45">
      <c r="B21" s="36" t="s">
        <v>451</v>
      </c>
      <c r="C21" s="43">
        <v>1015139</v>
      </c>
      <c r="E21" s="308" t="s">
        <v>452</v>
      </c>
      <c r="F21" s="309">
        <v>151986.878</v>
      </c>
    </row>
    <row r="22" spans="2:15" x14ac:dyDescent="0.45">
      <c r="E22" s="53"/>
    </row>
    <row r="23" spans="2:15" x14ac:dyDescent="0.45">
      <c r="B23" s="36" t="s">
        <v>453</v>
      </c>
      <c r="C23" s="44">
        <f>C20/(C21+C20)</f>
        <v>0.98926477960563908</v>
      </c>
    </row>
    <row r="24" spans="2:15" x14ac:dyDescent="0.45">
      <c r="B24" s="45" t="s">
        <v>454</v>
      </c>
      <c r="C24" s="226">
        <f>C21/(C21+C20)</f>
        <v>1.0735220394360947E-2</v>
      </c>
      <c r="D24" s="52"/>
    </row>
    <row r="26" spans="2:15" ht="13.35" thickBot="1" x14ac:dyDescent="0.5">
      <c r="B26" s="46"/>
      <c r="C26" s="46"/>
    </row>
    <row r="27" spans="2:15" ht="13.35" thickTop="1" x14ac:dyDescent="0.45">
      <c r="B27" s="47" t="s">
        <v>455</v>
      </c>
      <c r="C27" s="48">
        <f>C10*C23+C18*C24*(1-C16)</f>
        <v>9.6031977806949248E-2</v>
      </c>
    </row>
  </sheetData>
  <hyperlinks>
    <hyperlink ref="F20" r:id="rId1" display="https://finance.yahoo.com/quote/SNPS/?guccounter=1&amp;guce_referrer=aHR0cHM6Ly93d3cuZ29vZ2xlLmNvbS8&amp;guce_referrer_sig=AQAAAGuLr68vgunzhgtE7p22sfJr0-NfMrxFe3pxTqPa6xwHYLUnDofNPZalELFsvqQZTdsXWjhBocu1ryaDUKkUtQYaAj-Dqav2QJhf0iZu128rfpZWnvGS--qqNjrSo-Io2VnO_T94vEb6HGLvodTZrsyS6dFuGoy-MgqhG7NRkFn2" xr:uid="{4546DC51-5780-4C01-B17C-0E93721F0343}"/>
    <hyperlink ref="C12" r:id="rId2" display="https://pages.stern.nyu.edu/~adamodar/New_Home_Page/datafile/ratings.html" xr:uid="{B6A8130A-F2AB-4496-90E9-1412EE31061A}"/>
    <hyperlink ref="C16" r:id="rId3" display="https://pages.stern.nyu.edu/~adamodar/New_Home_Page/datafile/taxrate.html" xr:uid="{8FB0147B-E5A3-46A5-9C66-5C0F7F24F1F1}"/>
    <hyperlink ref="C8" r:id="rId4" display="https://pages.stern.nyu.edu/~adamodar/New_Home_Page/datafile/ctryprem.html" xr:uid="{7998F9AE-5D8F-4D9D-AB69-07D9A9B124E1}"/>
    <hyperlink ref="C5" r:id="rId5" display="https://pages.stern.nyu.edu/~adamodar/New_Home_Page/datafile/ctryprem.html" xr:uid="{3D860C47-E1F6-4988-997F-85BFD3EFD557}"/>
  </hyperlinks>
  <pageMargins left="0.7" right="0.7" top="0.75" bottom="0.75" header="0.3" footer="0.3"/>
  <pageSetup paperSize="9"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017D-CDE4-47E6-9D56-3763EF335FCF}">
  <dimension ref="A1:N50"/>
  <sheetViews>
    <sheetView zoomScaleNormal="100" workbookViewId="0">
      <selection activeCell="F4" sqref="F4"/>
    </sheetView>
  </sheetViews>
  <sheetFormatPr baseColWidth="10" defaultColWidth="9.17578125" defaultRowHeight="13" outlineLevelRow="1" x14ac:dyDescent="0.45"/>
  <cols>
    <col min="1" max="1" width="9.17578125" style="36"/>
    <col min="2" max="2" width="93.64453125" style="60" bestFit="1" customWidth="1"/>
    <col min="3" max="4" width="16.64453125" style="36" bestFit="1" customWidth="1"/>
    <col min="5" max="5" width="16.3515625" style="36" bestFit="1" customWidth="1"/>
    <col min="6" max="6" width="16.8203125" style="36" bestFit="1" customWidth="1"/>
    <col min="7" max="7" width="13.64453125" style="36" bestFit="1" customWidth="1"/>
    <col min="8" max="8" width="13.8203125" style="36" hidden="1" customWidth="1"/>
    <col min="9" max="9" width="10.8203125" style="36" bestFit="1" customWidth="1"/>
    <col min="10" max="27" width="9.17578125" style="36"/>
    <col min="28" max="28" width="9.17578125" style="36" customWidth="1"/>
    <col min="29" max="16384" width="9.17578125" style="36"/>
  </cols>
  <sheetData>
    <row r="1" spans="1:9" x14ac:dyDescent="0.45">
      <c r="B1" s="64"/>
    </row>
    <row r="2" spans="1:9" ht="15.7" x14ac:dyDescent="0.55000000000000004">
      <c r="B2" s="312" t="s">
        <v>456</v>
      </c>
      <c r="C2" s="313"/>
      <c r="D2" s="313"/>
      <c r="E2" s="313"/>
      <c r="F2" s="313"/>
    </row>
    <row r="3" spans="1:9" s="65" customFormat="1" x14ac:dyDescent="0.5">
      <c r="B3" s="66" t="s">
        <v>457</v>
      </c>
      <c r="C3" s="67">
        <v>2020</v>
      </c>
      <c r="D3" s="67">
        <v>2021</v>
      </c>
      <c r="E3" s="67">
        <v>2022</v>
      </c>
      <c r="F3" s="67">
        <v>2023</v>
      </c>
    </row>
    <row r="4" spans="1:9" x14ac:dyDescent="0.45">
      <c r="B4" s="68" t="s">
        <v>458</v>
      </c>
      <c r="C4" s="199">
        <v>1235653</v>
      </c>
      <c r="D4" s="199">
        <v>1432840</v>
      </c>
      <c r="E4" s="199">
        <v>1417608</v>
      </c>
      <c r="F4" s="199">
        <v>1438913</v>
      </c>
      <c r="I4" s="50"/>
    </row>
    <row r="5" spans="1:9" ht="13.35" thickBot="1" x14ac:dyDescent="0.5">
      <c r="B5" s="68" t="s">
        <v>459</v>
      </c>
      <c r="C5" s="200">
        <v>0</v>
      </c>
      <c r="D5" s="196">
        <v>147949</v>
      </c>
      <c r="E5" s="196">
        <v>147913</v>
      </c>
      <c r="F5" s="202">
        <v>151639</v>
      </c>
    </row>
    <row r="6" spans="1:9" x14ac:dyDescent="0.45">
      <c r="A6" s="36" t="s">
        <v>460</v>
      </c>
      <c r="B6" s="66" t="s">
        <v>461</v>
      </c>
      <c r="C6" s="216">
        <f>SUM(C4:C5)</f>
        <v>1235653</v>
      </c>
      <c r="D6" s="216">
        <f>SUM(D4:D5)</f>
        <v>1580789</v>
      </c>
      <c r="E6" s="216">
        <f>SUM(E4:E5)</f>
        <v>1565521</v>
      </c>
      <c r="F6" s="216">
        <f>SUM(F4:F5)</f>
        <v>1590552</v>
      </c>
    </row>
    <row r="7" spans="1:9" outlineLevel="1" x14ac:dyDescent="0.45">
      <c r="B7" s="68" t="s">
        <v>462</v>
      </c>
      <c r="C7" s="199">
        <v>780709</v>
      </c>
      <c r="D7" s="199">
        <v>568501</v>
      </c>
      <c r="E7" s="201">
        <v>796091</v>
      </c>
      <c r="F7" s="201">
        <v>946967</v>
      </c>
    </row>
    <row r="8" spans="1:9" outlineLevel="1" x14ac:dyDescent="0.45">
      <c r="B8" s="68" t="s">
        <v>463</v>
      </c>
      <c r="C8" s="199">
        <v>192333</v>
      </c>
      <c r="D8" s="199">
        <v>229023</v>
      </c>
      <c r="E8" s="199">
        <v>211927</v>
      </c>
      <c r="F8" s="199">
        <v>325590</v>
      </c>
    </row>
    <row r="9" spans="1:9" outlineLevel="1" x14ac:dyDescent="0.45">
      <c r="B9" s="68" t="s">
        <v>464</v>
      </c>
      <c r="C9" s="201">
        <v>32355</v>
      </c>
      <c r="D9" s="199">
        <v>32411</v>
      </c>
      <c r="E9" s="197">
        <v>0</v>
      </c>
      <c r="F9" s="197">
        <v>0</v>
      </c>
    </row>
    <row r="10" spans="1:9" outlineLevel="1" x14ac:dyDescent="0.45">
      <c r="B10" s="68" t="s">
        <v>465</v>
      </c>
      <c r="C10" s="199">
        <v>308167</v>
      </c>
      <c r="D10" s="199">
        <v>397617</v>
      </c>
      <c r="E10" s="199">
        <v>439130</v>
      </c>
      <c r="F10" s="199">
        <v>567515</v>
      </c>
    </row>
    <row r="11" spans="1:9" x14ac:dyDescent="0.45">
      <c r="B11" s="66" t="s">
        <v>466</v>
      </c>
      <c r="C11" s="74">
        <f>SUM(C6:C10)</f>
        <v>2549217</v>
      </c>
      <c r="D11" s="74">
        <f>SUM(D6:D10)</f>
        <v>2808341</v>
      </c>
      <c r="E11" s="74">
        <f>SUM(E6:E10)</f>
        <v>3012669</v>
      </c>
      <c r="F11" s="74">
        <f>SUM(F6:F10)</f>
        <v>3430624</v>
      </c>
    </row>
    <row r="12" spans="1:9" outlineLevel="1" x14ac:dyDescent="0.45">
      <c r="B12" s="68" t="s">
        <v>467</v>
      </c>
      <c r="C12" s="199">
        <v>3365114</v>
      </c>
      <c r="D12" s="199">
        <v>3575785</v>
      </c>
      <c r="E12" s="199">
        <v>3842234</v>
      </c>
      <c r="F12" s="199">
        <v>4070336</v>
      </c>
    </row>
    <row r="13" spans="1:9" ht="13.35" outlineLevel="1" thickBot="1" x14ac:dyDescent="0.5">
      <c r="B13" s="68" t="s">
        <v>468</v>
      </c>
      <c r="C13" s="196">
        <v>254322</v>
      </c>
      <c r="D13" s="196">
        <v>279132</v>
      </c>
      <c r="E13" s="196">
        <v>386446</v>
      </c>
      <c r="F13" s="196">
        <v>374194</v>
      </c>
    </row>
    <row r="14" spans="1:9" x14ac:dyDescent="0.45">
      <c r="B14" s="66" t="s">
        <v>469</v>
      </c>
      <c r="C14" s="74">
        <f>SUM(C12:C13)</f>
        <v>3619436</v>
      </c>
      <c r="D14" s="74">
        <f>SUM(D12:D13)</f>
        <v>3854917</v>
      </c>
      <c r="E14" s="74">
        <f>SUM(E12:E13)</f>
        <v>4228680</v>
      </c>
      <c r="F14" s="74">
        <f>SUM(F12:F13)</f>
        <v>4444530</v>
      </c>
    </row>
    <row r="15" spans="1:9" outlineLevel="1" x14ac:dyDescent="0.45">
      <c r="B15" s="68" t="s">
        <v>470</v>
      </c>
      <c r="C15" s="199">
        <v>483818</v>
      </c>
      <c r="D15" s="199">
        <v>472398</v>
      </c>
      <c r="E15" s="199">
        <v>483300</v>
      </c>
      <c r="F15" s="199">
        <v>557261</v>
      </c>
    </row>
    <row r="16" spans="1:9" outlineLevel="1" x14ac:dyDescent="0.45">
      <c r="B16" s="68" t="s">
        <v>471</v>
      </c>
      <c r="C16" s="199">
        <v>465818</v>
      </c>
      <c r="D16" s="199">
        <v>493251</v>
      </c>
      <c r="E16" s="199">
        <v>559090</v>
      </c>
      <c r="F16" s="199">
        <v>568829</v>
      </c>
    </row>
    <row r="17" spans="2:14" outlineLevel="1" x14ac:dyDescent="0.45">
      <c r="B17" s="68" t="s">
        <v>472</v>
      </c>
      <c r="C17" s="199">
        <v>497546</v>
      </c>
      <c r="D17" s="199">
        <v>612655</v>
      </c>
      <c r="E17" s="199">
        <v>670653</v>
      </c>
      <c r="F17" s="199">
        <v>860914</v>
      </c>
    </row>
    <row r="18" spans="2:14" ht="13.35" outlineLevel="1" thickBot="1" x14ac:dyDescent="0.5">
      <c r="B18" s="68" t="s">
        <v>473</v>
      </c>
      <c r="C18" s="196">
        <v>414227</v>
      </c>
      <c r="D18" s="196">
        <v>510698</v>
      </c>
      <c r="E18" s="196">
        <v>463695</v>
      </c>
      <c r="F18" s="196">
        <v>470973</v>
      </c>
    </row>
    <row r="19" spans="2:14" x14ac:dyDescent="0.45">
      <c r="B19" s="66" t="s">
        <v>474</v>
      </c>
      <c r="C19" s="217">
        <f>SUM(C14:C18)</f>
        <v>5480845</v>
      </c>
      <c r="D19" s="217">
        <f>SUM(D14:D18)</f>
        <v>5943919</v>
      </c>
      <c r="E19" s="217">
        <f>SUM(E14:E18)</f>
        <v>6405418</v>
      </c>
      <c r="F19" s="217">
        <f>SUM(F14:F18)</f>
        <v>6902507</v>
      </c>
    </row>
    <row r="20" spans="2:14" ht="14.7" thickBot="1" x14ac:dyDescent="0.55000000000000004">
      <c r="B20" s="66" t="s">
        <v>475</v>
      </c>
      <c r="C20" s="222">
        <f>C11+C19</f>
        <v>8030062</v>
      </c>
      <c r="D20" s="222">
        <f>D11+D19</f>
        <v>8752260</v>
      </c>
      <c r="E20" s="222">
        <f>E11+E19</f>
        <v>9418087</v>
      </c>
      <c r="F20" s="222">
        <f>F11+F19</f>
        <v>10333131</v>
      </c>
      <c r="N20"/>
    </row>
    <row r="21" spans="2:14" ht="13.35" outlineLevel="1" thickTop="1" x14ac:dyDescent="0.45">
      <c r="B21" s="68" t="s">
        <v>476</v>
      </c>
      <c r="C21" s="199">
        <v>623664</v>
      </c>
      <c r="D21" s="199">
        <v>694748</v>
      </c>
      <c r="E21" s="199">
        <v>809403</v>
      </c>
      <c r="F21" s="199">
        <v>1123761</v>
      </c>
    </row>
    <row r="22" spans="2:14" outlineLevel="1" x14ac:dyDescent="0.45">
      <c r="B22" s="68" t="s">
        <v>477</v>
      </c>
      <c r="C22" s="199">
        <v>73173</v>
      </c>
      <c r="D22" s="199">
        <v>79678</v>
      </c>
      <c r="E22" s="199">
        <v>54274</v>
      </c>
      <c r="F22" s="199">
        <v>85690</v>
      </c>
    </row>
    <row r="23" spans="2:14" outlineLevel="1" x14ac:dyDescent="0.45">
      <c r="B23" s="68" t="s">
        <v>478</v>
      </c>
      <c r="C23" s="199">
        <v>27738</v>
      </c>
      <c r="D23" s="199">
        <v>46443</v>
      </c>
      <c r="E23" s="197">
        <v>0</v>
      </c>
      <c r="F23" s="197">
        <v>0</v>
      </c>
    </row>
    <row r="24" spans="2:14" outlineLevel="1" x14ac:dyDescent="0.45">
      <c r="B24" s="68" t="s">
        <v>479</v>
      </c>
      <c r="C24" s="199">
        <v>1388263</v>
      </c>
      <c r="D24" s="199">
        <v>1517623</v>
      </c>
      <c r="E24" s="199">
        <v>1910822</v>
      </c>
      <c r="F24" s="199">
        <v>1776000</v>
      </c>
    </row>
    <row r="25" spans="2:14" ht="13.35" outlineLevel="1" thickBot="1" x14ac:dyDescent="0.5">
      <c r="B25" s="68" t="s">
        <v>480</v>
      </c>
      <c r="C25" s="196">
        <v>27084</v>
      </c>
      <c r="D25" s="196">
        <v>74992</v>
      </c>
      <c r="E25" s="200">
        <v>0</v>
      </c>
      <c r="F25" s="200">
        <v>0</v>
      </c>
      <c r="I25" s="228"/>
      <c r="J25" s="228"/>
      <c r="K25" s="228"/>
      <c r="L25" s="228"/>
    </row>
    <row r="26" spans="2:14" x14ac:dyDescent="0.45">
      <c r="B26" s="66" t="s">
        <v>481</v>
      </c>
      <c r="C26" s="217">
        <f>SUM(C21:C25)</f>
        <v>2139922</v>
      </c>
      <c r="D26" s="217">
        <f>SUM(D21:D25)</f>
        <v>2413484</v>
      </c>
      <c r="E26" s="217">
        <f>SUM(E21:E25)</f>
        <v>2774499</v>
      </c>
      <c r="F26" s="217">
        <f>SUM(F21:F25)</f>
        <v>2985451</v>
      </c>
      <c r="I26" s="228" t="s">
        <v>645</v>
      </c>
      <c r="J26" s="228"/>
      <c r="K26" s="228"/>
      <c r="L26" s="228"/>
    </row>
    <row r="27" spans="2:14" ht="14.35" outlineLevel="1" x14ac:dyDescent="0.5">
      <c r="B27" s="68" t="s">
        <v>482</v>
      </c>
      <c r="C27" s="199">
        <v>462411</v>
      </c>
      <c r="D27" s="199">
        <v>487003</v>
      </c>
      <c r="E27" s="199">
        <v>581273</v>
      </c>
      <c r="F27" s="199">
        <v>584035</v>
      </c>
      <c r="G27" s="72"/>
      <c r="I27" s="35"/>
      <c r="J27" s="35"/>
      <c r="K27" s="35"/>
      <c r="L27" s="35"/>
      <c r="M27" s="35"/>
    </row>
    <row r="28" spans="2:14" ht="14.35" outlineLevel="1" x14ac:dyDescent="0.5">
      <c r="B28" s="68" t="s">
        <v>483</v>
      </c>
      <c r="C28" s="199">
        <v>25178</v>
      </c>
      <c r="D28" s="199">
        <v>27893</v>
      </c>
      <c r="E28" s="197">
        <v>0</v>
      </c>
      <c r="F28" s="197">
        <v>0</v>
      </c>
      <c r="G28" s="72"/>
      <c r="I28" s="35"/>
      <c r="J28" s="35"/>
      <c r="K28" s="35"/>
      <c r="L28" s="35"/>
      <c r="M28" s="35"/>
    </row>
    <row r="29" spans="2:14" ht="14.35" outlineLevel="1" x14ac:dyDescent="0.5">
      <c r="B29" s="68" t="s">
        <v>484</v>
      </c>
      <c r="C29" s="199">
        <v>104850</v>
      </c>
      <c r="D29" s="199">
        <v>136303</v>
      </c>
      <c r="E29" s="199">
        <v>154472</v>
      </c>
      <c r="F29" s="199">
        <v>175128</v>
      </c>
      <c r="G29" s="72"/>
      <c r="I29" s="35"/>
      <c r="J29" s="35"/>
      <c r="K29" s="35"/>
      <c r="L29" s="35"/>
      <c r="M29" s="35"/>
    </row>
    <row r="30" spans="2:14" outlineLevel="1" x14ac:dyDescent="0.45">
      <c r="B30" s="68" t="s">
        <v>485</v>
      </c>
      <c r="C30" s="199">
        <v>100823</v>
      </c>
      <c r="D30" s="199">
        <v>25094</v>
      </c>
      <c r="E30" s="199">
        <v>20824</v>
      </c>
      <c r="F30" s="199">
        <v>18078</v>
      </c>
      <c r="G30" s="72"/>
      <c r="I30" s="227">
        <f>F4-F30</f>
        <v>1420835</v>
      </c>
      <c r="J30" s="228"/>
      <c r="K30" s="228"/>
      <c r="L30" s="228"/>
    </row>
    <row r="31" spans="2:14" ht="13.35" outlineLevel="1" thickBot="1" x14ac:dyDescent="0.5">
      <c r="B31" s="68" t="s">
        <v>486</v>
      </c>
      <c r="C31" s="196">
        <v>284511</v>
      </c>
      <c r="D31" s="196">
        <v>363540</v>
      </c>
      <c r="E31" s="196">
        <v>327829</v>
      </c>
      <c r="F31" s="196">
        <v>386138</v>
      </c>
      <c r="G31" s="72"/>
      <c r="I31" s="228"/>
      <c r="J31" s="228"/>
      <c r="K31" s="228"/>
      <c r="L31" s="228"/>
    </row>
    <row r="32" spans="2:14" x14ac:dyDescent="0.45">
      <c r="B32" s="66" t="s">
        <v>487</v>
      </c>
      <c r="C32" s="74">
        <f>SUM(C27:C31)</f>
        <v>977773</v>
      </c>
      <c r="D32" s="74">
        <f>SUM(D27:D31)</f>
        <v>1039833</v>
      </c>
      <c r="E32" s="74">
        <f>SUM(E27:E31)</f>
        <v>1084398</v>
      </c>
      <c r="F32" s="74">
        <f>SUM(F27:F31)</f>
        <v>1163379</v>
      </c>
      <c r="G32" s="72"/>
      <c r="I32" s="228"/>
      <c r="J32" s="228"/>
      <c r="K32" s="228"/>
      <c r="L32" s="228"/>
    </row>
    <row r="33" spans="2:9" ht="13.35" thickBot="1" x14ac:dyDescent="0.5">
      <c r="B33" s="66" t="s">
        <v>488</v>
      </c>
      <c r="C33" s="223">
        <f>C32+C26</f>
        <v>3117695</v>
      </c>
      <c r="D33" s="223">
        <f>D32+D26</f>
        <v>3453317</v>
      </c>
      <c r="E33" s="223">
        <f>E32+E26</f>
        <v>3858897</v>
      </c>
      <c r="F33" s="223">
        <f>F32+F26</f>
        <v>4148830</v>
      </c>
    </row>
    <row r="34" spans="2:9" ht="13.35" outlineLevel="1" thickTop="1" x14ac:dyDescent="0.45">
      <c r="B34" s="68" t="s">
        <v>489</v>
      </c>
      <c r="C34" s="197">
        <v>0</v>
      </c>
      <c r="D34" s="198">
        <v>0</v>
      </c>
      <c r="E34" s="199">
        <v>38664</v>
      </c>
      <c r="F34" s="199">
        <v>31043</v>
      </c>
    </row>
    <row r="35" spans="2:9" outlineLevel="1" x14ac:dyDescent="0.45">
      <c r="B35" s="68" t="s">
        <v>490</v>
      </c>
      <c r="C35" s="197">
        <v>0</v>
      </c>
      <c r="D35" s="197">
        <v>0</v>
      </c>
      <c r="E35" s="197">
        <v>0</v>
      </c>
      <c r="F35" s="197">
        <v>0</v>
      </c>
    </row>
    <row r="36" spans="2:9" outlineLevel="1" x14ac:dyDescent="0.45">
      <c r="B36" s="73" t="s">
        <v>491</v>
      </c>
      <c r="C36" s="199">
        <v>1528</v>
      </c>
      <c r="D36" s="199">
        <v>1531</v>
      </c>
      <c r="E36" s="199">
        <v>1524</v>
      </c>
      <c r="F36" s="199">
        <v>1521</v>
      </c>
    </row>
    <row r="37" spans="2:9" outlineLevel="1" x14ac:dyDescent="0.45">
      <c r="B37" s="68" t="s">
        <v>492</v>
      </c>
      <c r="C37" s="199">
        <v>1653166</v>
      </c>
      <c r="D37" s="199">
        <v>1576363</v>
      </c>
      <c r="E37" s="199">
        <v>1487126</v>
      </c>
      <c r="F37" s="199">
        <v>1276152</v>
      </c>
    </row>
    <row r="38" spans="2:9" outlineLevel="1" x14ac:dyDescent="0.45">
      <c r="B38" s="68" t="s">
        <v>493</v>
      </c>
      <c r="C38" s="199">
        <v>3795397</v>
      </c>
      <c r="D38" s="199">
        <v>4549713</v>
      </c>
      <c r="E38" s="199">
        <v>5534307</v>
      </c>
      <c r="F38" s="199">
        <v>6741699</v>
      </c>
    </row>
    <row r="39" spans="2:9" outlineLevel="1" x14ac:dyDescent="0.45">
      <c r="B39" s="68" t="s">
        <v>494</v>
      </c>
      <c r="C39" s="199">
        <v>-488613</v>
      </c>
      <c r="D39" s="199">
        <v>-782866</v>
      </c>
      <c r="E39" s="199">
        <v>-1272955</v>
      </c>
      <c r="F39" s="199">
        <v>-1675650</v>
      </c>
    </row>
    <row r="40" spans="2:9" ht="13.35" outlineLevel="1" thickBot="1" x14ac:dyDescent="0.5">
      <c r="B40" s="68" t="s">
        <v>495</v>
      </c>
      <c r="C40" s="196">
        <v>-54074</v>
      </c>
      <c r="D40" s="196">
        <v>-49604</v>
      </c>
      <c r="E40" s="196">
        <v>-234277</v>
      </c>
      <c r="F40" s="196">
        <v>-196414</v>
      </c>
    </row>
    <row r="41" spans="2:9" outlineLevel="1" x14ac:dyDescent="0.45">
      <c r="B41" s="68" t="s">
        <v>496</v>
      </c>
      <c r="C41" s="77">
        <f>SUM(C36:C40)</f>
        <v>4907404</v>
      </c>
      <c r="D41" s="77">
        <f>SUM(D36:D40)</f>
        <v>5295137</v>
      </c>
      <c r="E41" s="77">
        <f>SUM(E36:E40)</f>
        <v>5515725</v>
      </c>
      <c r="F41" s="77">
        <v>6147308</v>
      </c>
      <c r="G41" s="70"/>
    </row>
    <row r="42" spans="2:9" ht="13.35" outlineLevel="1" thickBot="1" x14ac:dyDescent="0.5">
      <c r="B42" s="68" t="s">
        <v>497</v>
      </c>
      <c r="C42" s="196">
        <v>4963</v>
      </c>
      <c r="D42" s="196">
        <v>3806</v>
      </c>
      <c r="E42" s="196">
        <v>4801</v>
      </c>
      <c r="F42" s="196">
        <v>5950</v>
      </c>
    </row>
    <row r="43" spans="2:9" x14ac:dyDescent="0.45">
      <c r="B43" s="66" t="s">
        <v>498</v>
      </c>
      <c r="C43" s="74">
        <f>SUM(C41:C42)</f>
        <v>4912367</v>
      </c>
      <c r="D43" s="74">
        <f>SUM(D41:D42)</f>
        <v>5298943</v>
      </c>
      <c r="E43" s="74">
        <f>SUM(E41:E42)</f>
        <v>5520526</v>
      </c>
      <c r="F43" s="74">
        <f>SUM(F41:F42)</f>
        <v>6153258</v>
      </c>
      <c r="G43" s="227">
        <f>F20-F33-F34</f>
        <v>6153258</v>
      </c>
      <c r="H43" s="228"/>
      <c r="I43" s="228" t="s">
        <v>499</v>
      </c>
    </row>
    <row r="44" spans="2:9" ht="13.35" thickBot="1" x14ac:dyDescent="0.5">
      <c r="B44" s="66" t="s">
        <v>500</v>
      </c>
      <c r="C44" s="223">
        <f>C33+C43+C34</f>
        <v>8030062</v>
      </c>
      <c r="D44" s="223">
        <f>D33+D43+D34</f>
        <v>8752260</v>
      </c>
      <c r="E44" s="223">
        <f>E33+E43+E34</f>
        <v>9418087</v>
      </c>
      <c r="F44" s="223">
        <f>F33+F43+F34</f>
        <v>10333131</v>
      </c>
      <c r="I44" s="213"/>
    </row>
    <row r="45" spans="2:9" ht="13.35" thickTop="1" x14ac:dyDescent="0.45">
      <c r="C45" s="78"/>
      <c r="D45" s="78"/>
      <c r="E45" s="78"/>
      <c r="F45" s="78"/>
    </row>
    <row r="46" spans="2:9" x14ac:dyDescent="0.45">
      <c r="C46" s="78"/>
      <c r="D46" s="78"/>
      <c r="E46" s="78"/>
      <c r="F46" s="78"/>
      <c r="G46" s="213"/>
    </row>
    <row r="47" spans="2:9" x14ac:dyDescent="0.45">
      <c r="B47" s="75" t="s">
        <v>501</v>
      </c>
      <c r="C47" s="211">
        <f>C11-C26</f>
        <v>409295</v>
      </c>
      <c r="D47" s="211">
        <f>D11-D26</f>
        <v>394857</v>
      </c>
      <c r="E47" s="211">
        <f>E11-E26</f>
        <v>238170</v>
      </c>
      <c r="F47" s="211">
        <f>F11-F26</f>
        <v>445173</v>
      </c>
    </row>
    <row r="48" spans="2:9" x14ac:dyDescent="0.45">
      <c r="B48" s="75" t="s">
        <v>502</v>
      </c>
      <c r="C48" s="79">
        <f>(C11-C6)-C26</f>
        <v>-826358</v>
      </c>
      <c r="D48" s="79">
        <f>(D11-D6)-D26</f>
        <v>-1185932</v>
      </c>
      <c r="E48" s="79">
        <f>(E11-E6)-E26</f>
        <v>-1327351</v>
      </c>
      <c r="F48" s="79">
        <f>(F11-F6)-F26</f>
        <v>-1145379</v>
      </c>
    </row>
    <row r="49" spans="2:6" ht="13.35" thickBot="1" x14ac:dyDescent="0.5">
      <c r="B49" s="75" t="s">
        <v>503</v>
      </c>
      <c r="C49" s="80"/>
      <c r="D49" s="80">
        <f>D48-C48</f>
        <v>-359574</v>
      </c>
      <c r="E49" s="80">
        <f>E48-D48</f>
        <v>-141419</v>
      </c>
      <c r="F49" s="80">
        <f>F48-E48</f>
        <v>181972</v>
      </c>
    </row>
    <row r="50" spans="2:6" ht="13.35" thickTop="1" x14ac:dyDescent="0.45"/>
  </sheetData>
  <mergeCells count="1">
    <mergeCell ref="B2:F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419D0-5C72-6A47-AE02-045FA2EF3A3B}">
  <dimension ref="A1:H36"/>
  <sheetViews>
    <sheetView zoomScaleNormal="100" workbookViewId="0">
      <selection activeCell="C28" sqref="C28"/>
    </sheetView>
  </sheetViews>
  <sheetFormatPr baseColWidth="10" defaultColWidth="11.46875" defaultRowHeight="13" outlineLevelRow="2" x14ac:dyDescent="0.45"/>
  <cols>
    <col min="1" max="1" width="11.46875" style="82"/>
    <col min="2" max="2" width="87.46875" style="82" bestFit="1" customWidth="1"/>
    <col min="3" max="6" width="11.8203125" style="83" bestFit="1" customWidth="1"/>
    <col min="7" max="16384" width="11.46875" style="83"/>
  </cols>
  <sheetData>
    <row r="1" spans="1:8" x14ac:dyDescent="0.45">
      <c r="A1" s="81"/>
    </row>
    <row r="2" spans="1:8" ht="15.7" x14ac:dyDescent="0.55000000000000004">
      <c r="B2" s="312" t="s">
        <v>504</v>
      </c>
      <c r="C2" s="313"/>
      <c r="D2" s="313"/>
      <c r="E2" s="313"/>
      <c r="F2" s="313"/>
    </row>
    <row r="3" spans="1:8" x14ac:dyDescent="0.45">
      <c r="B3" s="84" t="s">
        <v>457</v>
      </c>
      <c r="C3" s="85">
        <v>2020</v>
      </c>
      <c r="D3" s="85">
        <v>2021</v>
      </c>
      <c r="E3" s="85">
        <v>2022</v>
      </c>
      <c r="F3" s="85">
        <v>2023</v>
      </c>
    </row>
    <row r="4" spans="1:8" outlineLevel="1" x14ac:dyDescent="0.45">
      <c r="B4" s="86" t="s">
        <v>505</v>
      </c>
      <c r="C4" s="203">
        <v>2365199</v>
      </c>
      <c r="D4" s="203">
        <v>2633763</v>
      </c>
      <c r="E4" s="203">
        <v>2993786</v>
      </c>
      <c r="F4" s="203">
        <v>3383632</v>
      </c>
      <c r="H4" s="50"/>
    </row>
    <row r="5" spans="1:8" ht="13.35" outlineLevel="1" thickBot="1" x14ac:dyDescent="0.5">
      <c r="B5" s="86" t="s">
        <v>506</v>
      </c>
      <c r="C5" s="204">
        <v>735572</v>
      </c>
      <c r="D5" s="204">
        <v>861063</v>
      </c>
      <c r="E5" s="204">
        <v>1226728</v>
      </c>
      <c r="F5" s="204">
        <v>1429330</v>
      </c>
    </row>
    <row r="6" spans="1:8" outlineLevel="1" x14ac:dyDescent="0.45">
      <c r="B6" s="86" t="s">
        <v>507</v>
      </c>
      <c r="C6" s="87">
        <f>SUM(C4:C5)</f>
        <v>3100771</v>
      </c>
      <c r="D6" s="87">
        <f>SUM(D4:D5)</f>
        <v>3494826</v>
      </c>
      <c r="E6" s="87">
        <f t="shared" ref="E6:F6" si="0">SUM(E4:E5)</f>
        <v>4220514</v>
      </c>
      <c r="F6" s="87">
        <f t="shared" si="0"/>
        <v>4812962</v>
      </c>
    </row>
    <row r="7" spans="1:8" ht="13.35" outlineLevel="1" thickBot="1" x14ac:dyDescent="0.5">
      <c r="B7" s="86" t="s">
        <v>508</v>
      </c>
      <c r="C7" s="204">
        <v>584510</v>
      </c>
      <c r="D7" s="196">
        <v>709367</v>
      </c>
      <c r="E7" s="196">
        <v>861028</v>
      </c>
      <c r="F7" s="196">
        <v>1029657</v>
      </c>
      <c r="H7" s="50"/>
    </row>
    <row r="8" spans="1:8" x14ac:dyDescent="0.45">
      <c r="B8" s="84" t="s">
        <v>509</v>
      </c>
      <c r="C8" s="76">
        <f>SUM(C6:C7)</f>
        <v>3685281</v>
      </c>
      <c r="D8" s="79">
        <f>SUM(D6:D7)</f>
        <v>4204193</v>
      </c>
      <c r="E8" s="79">
        <f t="shared" ref="E8" si="1">SUM(E6:E7)</f>
        <v>5081542</v>
      </c>
      <c r="F8" s="79">
        <f>SUM(F6:F7)</f>
        <v>5842619</v>
      </c>
    </row>
    <row r="9" spans="1:8" outlineLevel="1" x14ac:dyDescent="0.45">
      <c r="B9" s="86" t="s">
        <v>510</v>
      </c>
      <c r="C9" s="203">
        <v>487307</v>
      </c>
      <c r="D9" s="199">
        <v>542114</v>
      </c>
      <c r="E9" s="199">
        <v>653783</v>
      </c>
      <c r="F9" s="199">
        <v>763494</v>
      </c>
    </row>
    <row r="10" spans="1:8" outlineLevel="1" x14ac:dyDescent="0.45">
      <c r="B10" s="86" t="s">
        <v>508</v>
      </c>
      <c r="C10" s="203">
        <v>254931</v>
      </c>
      <c r="D10" s="199">
        <v>271202</v>
      </c>
      <c r="E10" s="199">
        <v>342978</v>
      </c>
      <c r="F10" s="199">
        <v>383835</v>
      </c>
    </row>
    <row r="11" spans="1:8" ht="13.35" outlineLevel="1" thickBot="1" x14ac:dyDescent="0.5">
      <c r="B11" s="86" t="s">
        <v>511</v>
      </c>
      <c r="C11" s="204">
        <v>52452</v>
      </c>
      <c r="D11" s="196">
        <v>48461</v>
      </c>
      <c r="E11" s="196">
        <v>66936</v>
      </c>
      <c r="F11" s="196">
        <v>74864</v>
      </c>
    </row>
    <row r="12" spans="1:8" ht="13.35" thickBot="1" x14ac:dyDescent="0.5">
      <c r="B12" s="225" t="s">
        <v>512</v>
      </c>
      <c r="C12" s="88">
        <f>SUM(C9:C11)</f>
        <v>794690</v>
      </c>
      <c r="D12" s="89">
        <f>SUM(D9:D11)</f>
        <v>861777</v>
      </c>
      <c r="E12" s="89">
        <f>SUM(E9:E11)</f>
        <v>1063697</v>
      </c>
      <c r="F12" s="89">
        <f>SUM(F9:F11)</f>
        <v>1222193</v>
      </c>
    </row>
    <row r="13" spans="1:8" x14ac:dyDescent="0.45">
      <c r="B13" s="84" t="s">
        <v>513</v>
      </c>
      <c r="C13" s="76">
        <f>C8-C12</f>
        <v>2890591</v>
      </c>
      <c r="D13" s="79">
        <f>D8-D12</f>
        <v>3342416</v>
      </c>
      <c r="E13" s="79">
        <f>E8-E12</f>
        <v>4017845</v>
      </c>
      <c r="F13" s="79">
        <f>F8-F12</f>
        <v>4620426</v>
      </c>
      <c r="G13" s="90"/>
    </row>
    <row r="14" spans="1:8" outlineLevel="2" x14ac:dyDescent="0.45">
      <c r="B14" s="86" t="s">
        <v>514</v>
      </c>
      <c r="C14" s="203">
        <v>1279022</v>
      </c>
      <c r="D14" s="199">
        <v>1504823</v>
      </c>
      <c r="E14" s="199">
        <v>1680379</v>
      </c>
      <c r="F14" s="199">
        <v>1946813</v>
      </c>
    </row>
    <row r="15" spans="1:8" outlineLevel="2" x14ac:dyDescent="0.45">
      <c r="B15" s="86" t="s">
        <v>515</v>
      </c>
      <c r="C15" s="203">
        <v>632010</v>
      </c>
      <c r="D15" s="199">
        <v>712491</v>
      </c>
      <c r="E15" s="199">
        <v>779777</v>
      </c>
      <c r="F15" s="199">
        <v>889016</v>
      </c>
    </row>
    <row r="16" spans="1:8" outlineLevel="2" x14ac:dyDescent="0.45">
      <c r="B16" s="86" t="s">
        <v>516</v>
      </c>
      <c r="C16" s="203">
        <v>284530</v>
      </c>
      <c r="D16" s="199">
        <v>322988</v>
      </c>
      <c r="E16" s="199">
        <v>353840</v>
      </c>
      <c r="F16" s="199">
        <v>410311</v>
      </c>
    </row>
    <row r="17" spans="2:8" outlineLevel="2" x14ac:dyDescent="0.45">
      <c r="B17" s="86" t="s">
        <v>511</v>
      </c>
      <c r="C17" s="203">
        <v>38829</v>
      </c>
      <c r="D17" s="199">
        <v>33919</v>
      </c>
      <c r="E17" s="199">
        <v>29754</v>
      </c>
      <c r="F17" s="199">
        <v>28025</v>
      </c>
    </row>
    <row r="18" spans="2:8" ht="13.35" outlineLevel="2" thickBot="1" x14ac:dyDescent="0.5">
      <c r="B18" s="86" t="s">
        <v>517</v>
      </c>
      <c r="C18" s="204">
        <v>36059</v>
      </c>
      <c r="D18" s="196">
        <v>33405</v>
      </c>
      <c r="E18" s="196">
        <v>12057</v>
      </c>
      <c r="F18" s="196">
        <v>77002</v>
      </c>
    </row>
    <row r="19" spans="2:8" ht="13.35" thickBot="1" x14ac:dyDescent="0.5">
      <c r="B19" s="84" t="s">
        <v>518</v>
      </c>
      <c r="C19" s="91">
        <f>SUM(C14:C18)</f>
        <v>2270450</v>
      </c>
      <c r="D19" s="92">
        <f>SUM(D14:D18)</f>
        <v>2607626</v>
      </c>
      <c r="E19" s="92">
        <f t="shared" ref="E19" si="2">SUM(E14:E18)</f>
        <v>2855807</v>
      </c>
      <c r="F19" s="92">
        <f>SUM(F14:F18)</f>
        <v>3351167</v>
      </c>
    </row>
    <row r="20" spans="2:8" x14ac:dyDescent="0.45">
      <c r="B20" s="225" t="s">
        <v>519</v>
      </c>
      <c r="C20" s="76">
        <f>C13-C19</f>
        <v>620141</v>
      </c>
      <c r="D20" s="79">
        <f t="shared" ref="D20:F20" si="3">D13-D19</f>
        <v>734790</v>
      </c>
      <c r="E20" s="79">
        <f t="shared" si="3"/>
        <v>1162038</v>
      </c>
      <c r="F20" s="79">
        <f t="shared" si="3"/>
        <v>1269259</v>
      </c>
    </row>
    <row r="21" spans="2:8" ht="13.35" outlineLevel="1" thickBot="1" x14ac:dyDescent="0.5">
      <c r="B21" s="86" t="s">
        <v>520</v>
      </c>
      <c r="C21" s="204">
        <v>18018</v>
      </c>
      <c r="D21" s="196">
        <v>70724</v>
      </c>
      <c r="E21" s="196">
        <v>-46524</v>
      </c>
      <c r="F21" s="196">
        <v>32523</v>
      </c>
    </row>
    <row r="22" spans="2:8" x14ac:dyDescent="0.45">
      <c r="B22" s="225" t="s">
        <v>521</v>
      </c>
      <c r="C22" s="76">
        <f>SUM(C20:C21)</f>
        <v>638159</v>
      </c>
      <c r="D22" s="79">
        <f>SUM(D20:D21)</f>
        <v>805514</v>
      </c>
      <c r="E22" s="79">
        <f>SUM(E20:E21)</f>
        <v>1115514</v>
      </c>
      <c r="F22" s="79">
        <f>SUM(F20:F21)</f>
        <v>1301782</v>
      </c>
      <c r="H22" s="50"/>
    </row>
    <row r="23" spans="2:8" ht="13.35" outlineLevel="1" thickBot="1" x14ac:dyDescent="0.5">
      <c r="B23" s="86" t="s">
        <v>522</v>
      </c>
      <c r="C23" s="204">
        <v>-25288</v>
      </c>
      <c r="D23" s="196">
        <v>49155</v>
      </c>
      <c r="E23" s="196">
        <v>137078</v>
      </c>
      <c r="F23" s="196">
        <v>83657</v>
      </c>
    </row>
    <row r="24" spans="2:8" x14ac:dyDescent="0.45">
      <c r="B24" s="84" t="s">
        <v>523</v>
      </c>
      <c r="C24" s="76">
        <f>C22-C23</f>
        <v>663447</v>
      </c>
      <c r="D24" s="79">
        <f>D22-D23</f>
        <v>756359</v>
      </c>
      <c r="E24" s="79">
        <f t="shared" ref="E24" si="4">E22-E23</f>
        <v>978436</v>
      </c>
      <c r="F24" s="79">
        <f>F22-F23</f>
        <v>1218125</v>
      </c>
    </row>
    <row r="25" spans="2:8" ht="13.35" outlineLevel="1" thickBot="1" x14ac:dyDescent="0.5">
      <c r="B25" s="86" t="s">
        <v>524</v>
      </c>
      <c r="C25" s="204">
        <v>-900</v>
      </c>
      <c r="D25" s="204">
        <v>-1157</v>
      </c>
      <c r="E25" s="204">
        <v>-6158</v>
      </c>
      <c r="F25" s="204">
        <v>-11763</v>
      </c>
    </row>
    <row r="26" spans="2:8" x14ac:dyDescent="0.45">
      <c r="B26" s="84" t="s">
        <v>525</v>
      </c>
      <c r="C26" s="76">
        <f>C24-C25</f>
        <v>664347</v>
      </c>
      <c r="D26" s="76">
        <f>D24-D25</f>
        <v>757516</v>
      </c>
      <c r="E26" s="76">
        <f t="shared" ref="E26:F26" si="5">E24-E25</f>
        <v>984594</v>
      </c>
      <c r="F26" s="76">
        <f t="shared" si="5"/>
        <v>1229888</v>
      </c>
    </row>
    <row r="27" spans="2:8" x14ac:dyDescent="0.45">
      <c r="B27" s="84" t="s">
        <v>526</v>
      </c>
      <c r="C27" s="87"/>
      <c r="D27" s="87"/>
      <c r="E27" s="87"/>
      <c r="F27" s="87"/>
    </row>
    <row r="28" spans="2:8" outlineLevel="1" x14ac:dyDescent="0.45">
      <c r="B28" s="86" t="s">
        <v>527</v>
      </c>
      <c r="C28" s="229">
        <f>C26/C31</f>
        <v>4.3957190591193305</v>
      </c>
      <c r="D28" s="229">
        <f>D26/D31</f>
        <v>4.9608770252393617</v>
      </c>
      <c r="E28" s="229">
        <f>E26/E31</f>
        <v>6.43517078208128</v>
      </c>
      <c r="F28" s="229">
        <f>F26/F31</f>
        <v>8.0836039067737566</v>
      </c>
    </row>
    <row r="29" spans="2:8" outlineLevel="1" x14ac:dyDescent="0.45">
      <c r="B29" s="86" t="s">
        <v>528</v>
      </c>
      <c r="C29" s="229">
        <f>C26/C32</f>
        <v>4.266675657970791</v>
      </c>
      <c r="D29" s="229">
        <f>D26/D32</f>
        <v>4.8145163340536419</v>
      </c>
      <c r="E29" s="229">
        <f>E26/E32</f>
        <v>6.291938524459213</v>
      </c>
      <c r="F29" s="229">
        <f>F26/F32</f>
        <v>7.9247913914752406</v>
      </c>
    </row>
    <row r="30" spans="2:8" x14ac:dyDescent="0.45">
      <c r="B30" s="84" t="s">
        <v>529</v>
      </c>
      <c r="C30" s="87"/>
      <c r="D30" s="87"/>
      <c r="E30" s="87"/>
      <c r="F30" s="87"/>
    </row>
    <row r="31" spans="2:8" outlineLevel="1" x14ac:dyDescent="0.45">
      <c r="B31" s="86" t="s">
        <v>527</v>
      </c>
      <c r="C31" s="203">
        <v>151135</v>
      </c>
      <c r="D31" s="203">
        <v>152698</v>
      </c>
      <c r="E31" s="203">
        <v>153002</v>
      </c>
      <c r="F31" s="203">
        <v>152146</v>
      </c>
    </row>
    <row r="32" spans="2:8" outlineLevel="1" x14ac:dyDescent="0.45">
      <c r="B32" s="86" t="s">
        <v>528</v>
      </c>
      <c r="C32" s="203">
        <v>155706</v>
      </c>
      <c r="D32" s="203">
        <v>157340</v>
      </c>
      <c r="E32" s="203">
        <v>156485</v>
      </c>
      <c r="F32" s="203">
        <v>155195</v>
      </c>
    </row>
    <row r="35" spans="2:2" x14ac:dyDescent="0.45">
      <c r="B35" s="93"/>
    </row>
    <row r="36" spans="2:2" x14ac:dyDescent="0.45">
      <c r="B36" s="93"/>
    </row>
  </sheetData>
  <mergeCells count="1">
    <mergeCell ref="B2:F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FF29-1447-1D4F-86F2-28153BBF85B9}">
  <dimension ref="A1:H47"/>
  <sheetViews>
    <sheetView zoomScaleNormal="100" workbookViewId="0">
      <selection activeCell="C39" sqref="C39"/>
    </sheetView>
  </sheetViews>
  <sheetFormatPr baseColWidth="10" defaultColWidth="11.46875" defaultRowHeight="13" outlineLevelRow="1" x14ac:dyDescent="0.45"/>
  <cols>
    <col min="1" max="1" width="11.46875" style="94"/>
    <col min="2" max="2" width="71.46875" style="94" bestFit="1" customWidth="1"/>
    <col min="3" max="3" width="12" style="94" bestFit="1" customWidth="1"/>
    <col min="4" max="6" width="13.3515625" style="94" bestFit="1" customWidth="1"/>
    <col min="7" max="7" width="12" style="94" customWidth="1"/>
    <col min="8" max="8" width="13.3515625" style="94" bestFit="1" customWidth="1"/>
    <col min="9" max="16384" width="11.46875" style="94"/>
  </cols>
  <sheetData>
    <row r="1" spans="1:8" x14ac:dyDescent="0.45">
      <c r="A1" s="36"/>
    </row>
    <row r="2" spans="1:8" ht="15.7" x14ac:dyDescent="0.55000000000000004">
      <c r="B2" s="312" t="s">
        <v>530</v>
      </c>
      <c r="C2" s="313"/>
      <c r="D2" s="313"/>
      <c r="E2" s="313"/>
      <c r="F2" s="313"/>
    </row>
    <row r="3" spans="1:8" x14ac:dyDescent="0.45">
      <c r="B3" s="95" t="s">
        <v>457</v>
      </c>
      <c r="C3" s="67">
        <v>2020</v>
      </c>
      <c r="D3" s="67">
        <v>2021</v>
      </c>
      <c r="E3" s="67">
        <v>2022</v>
      </c>
      <c r="F3" s="67">
        <v>2023</v>
      </c>
    </row>
    <row r="4" spans="1:8" outlineLevel="1" x14ac:dyDescent="0.45">
      <c r="B4" s="96" t="s">
        <v>523</v>
      </c>
      <c r="C4" s="97">
        <f>'Income Statement'!C24</f>
        <v>663447</v>
      </c>
      <c r="D4" s="97">
        <f>'Income Statement'!D24</f>
        <v>756359</v>
      </c>
      <c r="E4" s="97">
        <f>'Income Statement'!E24</f>
        <v>978436</v>
      </c>
      <c r="F4" s="97">
        <f>'Income Statement'!F24</f>
        <v>1218125</v>
      </c>
      <c r="G4" s="98"/>
      <c r="H4" s="50"/>
    </row>
    <row r="5" spans="1:8" outlineLevel="1" x14ac:dyDescent="0.45">
      <c r="B5" s="96" t="s">
        <v>531</v>
      </c>
      <c r="C5" s="203">
        <v>209986</v>
      </c>
      <c r="D5" s="203">
        <v>203676</v>
      </c>
      <c r="E5" s="203">
        <v>228405</v>
      </c>
      <c r="F5" s="203">
        <v>247120</v>
      </c>
      <c r="G5" s="99"/>
    </row>
    <row r="6" spans="1:8" outlineLevel="1" x14ac:dyDescent="0.45">
      <c r="B6" s="96" t="s">
        <v>532</v>
      </c>
      <c r="C6" s="203">
        <v>82895</v>
      </c>
      <c r="D6" s="203">
        <v>86645</v>
      </c>
      <c r="E6" s="203">
        <v>89541</v>
      </c>
      <c r="F6" s="203">
        <v>97705</v>
      </c>
      <c r="G6" s="99"/>
    </row>
    <row r="7" spans="1:8" outlineLevel="1" x14ac:dyDescent="0.45">
      <c r="B7" s="96" t="s">
        <v>533</v>
      </c>
      <c r="C7" s="203">
        <v>61185</v>
      </c>
      <c r="D7" s="203">
        <v>64698</v>
      </c>
      <c r="E7" s="203">
        <v>73026</v>
      </c>
      <c r="F7" s="203">
        <v>82190</v>
      </c>
      <c r="G7" s="99"/>
    </row>
    <row r="8" spans="1:8" outlineLevel="1" x14ac:dyDescent="0.45">
      <c r="B8" s="96" t="s">
        <v>534</v>
      </c>
      <c r="C8" s="203">
        <v>248584</v>
      </c>
      <c r="D8" s="203">
        <v>345272</v>
      </c>
      <c r="E8" s="203">
        <v>459029</v>
      </c>
      <c r="F8" s="203">
        <v>563292</v>
      </c>
      <c r="G8" s="99"/>
    </row>
    <row r="9" spans="1:8" outlineLevel="1" x14ac:dyDescent="0.45">
      <c r="B9" s="96" t="s">
        <v>535</v>
      </c>
      <c r="C9" s="203">
        <v>20875</v>
      </c>
      <c r="D9" s="203">
        <v>18515</v>
      </c>
      <c r="E9" s="203">
        <v>-3477</v>
      </c>
      <c r="F9" s="203">
        <v>19932</v>
      </c>
      <c r="G9" s="99"/>
    </row>
    <row r="10" spans="1:8" outlineLevel="1" x14ac:dyDescent="0.45">
      <c r="B10" s="96" t="s">
        <v>472</v>
      </c>
      <c r="C10" s="203">
        <v>-111526</v>
      </c>
      <c r="D10" s="203">
        <v>-128583</v>
      </c>
      <c r="E10" s="203">
        <v>-36913</v>
      </c>
      <c r="F10" s="203">
        <v>-211045</v>
      </c>
      <c r="G10" s="99"/>
    </row>
    <row r="11" spans="1:8" outlineLevel="1" x14ac:dyDescent="0.45">
      <c r="B11" s="96" t="s">
        <v>536</v>
      </c>
      <c r="C11" s="203">
        <v>4325</v>
      </c>
      <c r="D11" s="203">
        <v>15859</v>
      </c>
      <c r="E11" s="203">
        <v>10188</v>
      </c>
      <c r="F11" s="203">
        <v>13295</v>
      </c>
      <c r="G11" s="99"/>
    </row>
    <row r="12" spans="1:8" outlineLevel="1" x14ac:dyDescent="0.45">
      <c r="B12" s="96" t="s">
        <v>537</v>
      </c>
      <c r="C12" s="203">
        <v>-236806</v>
      </c>
      <c r="D12" s="203">
        <v>201706</v>
      </c>
      <c r="E12" s="203">
        <v>-251390</v>
      </c>
      <c r="F12" s="203">
        <v>-178432</v>
      </c>
      <c r="G12" s="99"/>
    </row>
    <row r="13" spans="1:8" outlineLevel="1" x14ac:dyDescent="0.45">
      <c r="B13" s="96" t="s">
        <v>538</v>
      </c>
      <c r="C13" s="203">
        <v>-55024</v>
      </c>
      <c r="D13" s="203">
        <v>-48046</v>
      </c>
      <c r="E13" s="203">
        <v>1320</v>
      </c>
      <c r="F13" s="203">
        <v>-123752</v>
      </c>
      <c r="G13" s="99"/>
    </row>
    <row r="14" spans="1:8" outlineLevel="1" x14ac:dyDescent="0.45">
      <c r="B14" s="96" t="s">
        <v>465</v>
      </c>
      <c r="C14" s="203">
        <v>-11298</v>
      </c>
      <c r="D14" s="203">
        <v>-102174</v>
      </c>
      <c r="E14" s="203">
        <v>-89983</v>
      </c>
      <c r="F14" s="203">
        <v>-106396</v>
      </c>
      <c r="G14" s="99"/>
    </row>
    <row r="15" spans="1:8" outlineLevel="1" x14ac:dyDescent="0.45">
      <c r="B15" s="96" t="s">
        <v>473</v>
      </c>
      <c r="C15" s="203">
        <v>-83367</v>
      </c>
      <c r="D15" s="203">
        <v>-153037</v>
      </c>
      <c r="E15" s="203">
        <v>-15283</v>
      </c>
      <c r="F15" s="203">
        <v>-100618</v>
      </c>
      <c r="G15" s="99"/>
    </row>
    <row r="16" spans="1:8" outlineLevel="1" x14ac:dyDescent="0.45">
      <c r="B16" s="96" t="s">
        <v>476</v>
      </c>
      <c r="C16" s="203">
        <v>113773</v>
      </c>
      <c r="D16" s="203">
        <v>125133</v>
      </c>
      <c r="E16" s="203">
        <v>-34066</v>
      </c>
      <c r="F16" s="203">
        <v>170496</v>
      </c>
      <c r="G16" s="99"/>
    </row>
    <row r="17" spans="2:8" outlineLevel="1" x14ac:dyDescent="0.45">
      <c r="B17" s="96" t="s">
        <v>477</v>
      </c>
      <c r="C17" s="203">
        <v>-78578</v>
      </c>
      <c r="D17" s="203">
        <v>-82581</v>
      </c>
      <c r="E17" s="203">
        <v>-85828</v>
      </c>
      <c r="F17" s="203">
        <v>-73281</v>
      </c>
      <c r="G17" s="99"/>
    </row>
    <row r="18" spans="2:8" outlineLevel="1" x14ac:dyDescent="0.45">
      <c r="B18" s="96" t="s">
        <v>539</v>
      </c>
      <c r="C18" s="203">
        <v>14120</v>
      </c>
      <c r="D18" s="203">
        <v>28855</v>
      </c>
      <c r="E18" s="203">
        <v>1644</v>
      </c>
      <c r="F18" s="203">
        <v>198078</v>
      </c>
      <c r="G18" s="99"/>
    </row>
    <row r="19" spans="2:8" ht="13.35" outlineLevel="1" thickBot="1" x14ac:dyDescent="0.5">
      <c r="B19" s="96" t="s">
        <v>479</v>
      </c>
      <c r="C19" s="209">
        <v>148722</v>
      </c>
      <c r="D19" s="209">
        <v>160325</v>
      </c>
      <c r="E19" s="204">
        <v>414251</v>
      </c>
      <c r="F19" s="196">
        <v>-113435</v>
      </c>
      <c r="G19" s="99"/>
    </row>
    <row r="20" spans="2:8" ht="13.35" thickBot="1" x14ac:dyDescent="0.5">
      <c r="B20" s="100" t="s">
        <v>540</v>
      </c>
      <c r="C20" s="215">
        <f>SUM(C4:C19)</f>
        <v>991313</v>
      </c>
      <c r="D20" s="215">
        <f>SUM(D4:D19)</f>
        <v>1492622</v>
      </c>
      <c r="E20" s="215">
        <f>SUM(E4:E19)</f>
        <v>1738900</v>
      </c>
      <c r="F20" s="215">
        <f>SUM(F4:F19)</f>
        <v>1703274</v>
      </c>
      <c r="G20" s="99"/>
      <c r="H20" s="214"/>
    </row>
    <row r="21" spans="2:8" ht="13.35" outlineLevel="1" thickTop="1" x14ac:dyDescent="0.45">
      <c r="B21" s="96" t="s">
        <v>541</v>
      </c>
      <c r="C21" s="207">
        <v>0</v>
      </c>
      <c r="D21" s="203">
        <v>12850</v>
      </c>
      <c r="E21" s="203">
        <v>93696</v>
      </c>
      <c r="F21" s="203">
        <v>130435</v>
      </c>
      <c r="G21" s="99"/>
    </row>
    <row r="22" spans="2:8" outlineLevel="1" x14ac:dyDescent="0.45">
      <c r="B22" s="96" t="s">
        <v>542</v>
      </c>
      <c r="C22" s="205">
        <v>0</v>
      </c>
      <c r="D22" s="203">
        <v>-161732</v>
      </c>
      <c r="E22" s="203">
        <v>-97245</v>
      </c>
      <c r="F22" s="203">
        <v>-131079</v>
      </c>
      <c r="G22" s="99"/>
    </row>
    <row r="23" spans="2:8" outlineLevel="1" x14ac:dyDescent="0.45">
      <c r="B23" s="96" t="s">
        <v>543</v>
      </c>
      <c r="C23" s="212">
        <v>2151</v>
      </c>
      <c r="D23" s="206" t="s">
        <v>544</v>
      </c>
      <c r="E23" s="203">
        <v>582</v>
      </c>
      <c r="F23" s="203">
        <v>8492</v>
      </c>
      <c r="G23" s="101"/>
    </row>
    <row r="24" spans="2:8" outlineLevel="1" x14ac:dyDescent="0.45">
      <c r="B24" s="96" t="s">
        <v>545</v>
      </c>
      <c r="C24" s="203">
        <v>-2762</v>
      </c>
      <c r="D24" s="203">
        <v>-7591</v>
      </c>
      <c r="E24" s="203">
        <v>-7000</v>
      </c>
      <c r="F24" s="203">
        <v>-435</v>
      </c>
      <c r="G24" s="99"/>
    </row>
    <row r="25" spans="2:8" outlineLevel="1" x14ac:dyDescent="0.45">
      <c r="B25" s="96" t="s">
        <v>546</v>
      </c>
      <c r="C25" s="203">
        <v>-154717</v>
      </c>
      <c r="D25" s="203">
        <v>-93764</v>
      </c>
      <c r="E25" s="203">
        <v>-136589</v>
      </c>
      <c r="F25" s="203">
        <v>-189618</v>
      </c>
      <c r="G25" s="99"/>
    </row>
    <row r="26" spans="2:8" outlineLevel="1" x14ac:dyDescent="0.45">
      <c r="B26" s="96" t="s">
        <v>547</v>
      </c>
      <c r="C26" s="203">
        <v>-201045</v>
      </c>
      <c r="D26" s="203">
        <v>-296017</v>
      </c>
      <c r="E26" s="203">
        <v>-422374</v>
      </c>
      <c r="F26" s="203">
        <v>-297692</v>
      </c>
    </row>
    <row r="27" spans="2:8" outlineLevel="1" x14ac:dyDescent="0.45">
      <c r="B27" s="96" t="s">
        <v>548</v>
      </c>
      <c r="C27" s="203">
        <v>-4045</v>
      </c>
      <c r="D27" s="203">
        <v>-1976</v>
      </c>
      <c r="E27" s="203">
        <v>-2493</v>
      </c>
      <c r="F27" s="203">
        <v>-2204</v>
      </c>
    </row>
    <row r="28" spans="2:8" ht="13.35" outlineLevel="1" thickBot="1" x14ac:dyDescent="0.5">
      <c r="B28" s="96" t="s">
        <v>549</v>
      </c>
      <c r="C28" s="208">
        <v>0</v>
      </c>
      <c r="D28" s="204">
        <v>-800</v>
      </c>
      <c r="E28" s="204">
        <v>-1200</v>
      </c>
      <c r="F28" s="208">
        <v>0</v>
      </c>
    </row>
    <row r="29" spans="2:8" ht="13.35" thickBot="1" x14ac:dyDescent="0.5">
      <c r="B29" s="100" t="s">
        <v>550</v>
      </c>
      <c r="C29" s="102">
        <f>SUM(C21:C28)</f>
        <v>-360418</v>
      </c>
      <c r="D29" s="102">
        <f>SUM(D21:D28)</f>
        <v>-549030</v>
      </c>
      <c r="E29" s="102">
        <f t="shared" ref="E29:F29" si="0">SUM(E21:E28)</f>
        <v>-572623</v>
      </c>
      <c r="F29" s="102">
        <f t="shared" si="0"/>
        <v>-482101</v>
      </c>
      <c r="G29" s="99"/>
    </row>
    <row r="30" spans="2:8" ht="13.35" outlineLevel="1" thickTop="1" x14ac:dyDescent="0.45">
      <c r="B30" s="55" t="s">
        <v>551</v>
      </c>
      <c r="C30" s="301">
        <v>276489</v>
      </c>
      <c r="D30" s="205">
        <v>0</v>
      </c>
      <c r="E30" s="205">
        <v>0</v>
      </c>
      <c r="F30" s="205">
        <v>0</v>
      </c>
    </row>
    <row r="31" spans="2:8" outlineLevel="1" x14ac:dyDescent="0.45">
      <c r="B31" s="96" t="s">
        <v>552</v>
      </c>
      <c r="C31" s="203">
        <v>-288879</v>
      </c>
      <c r="D31" s="203">
        <v>-28061</v>
      </c>
      <c r="E31" s="203">
        <v>-76838</v>
      </c>
      <c r="F31" s="199">
        <v>-2603</v>
      </c>
    </row>
    <row r="32" spans="2:8" outlineLevel="1" x14ac:dyDescent="0.45">
      <c r="B32" s="96" t="s">
        <v>553</v>
      </c>
      <c r="C32" s="203">
        <v>197403</v>
      </c>
      <c r="D32" s="203">
        <v>210719</v>
      </c>
      <c r="E32" s="203">
        <v>237956</v>
      </c>
      <c r="F32" s="203">
        <v>252986</v>
      </c>
    </row>
    <row r="33" spans="2:6" outlineLevel="1" x14ac:dyDescent="0.45">
      <c r="B33" s="96" t="s">
        <v>554</v>
      </c>
      <c r="C33" s="203">
        <v>-82225</v>
      </c>
      <c r="D33" s="203">
        <v>-138950</v>
      </c>
      <c r="E33" s="203">
        <v>-174005</v>
      </c>
      <c r="F33" s="203">
        <v>-241408</v>
      </c>
    </row>
    <row r="34" spans="2:6" outlineLevel="1" x14ac:dyDescent="0.45">
      <c r="B34" s="96" t="s">
        <v>555</v>
      </c>
      <c r="C34" s="205">
        <v>0</v>
      </c>
      <c r="D34" s="203">
        <v>-35000</v>
      </c>
      <c r="E34" s="206" t="s">
        <v>544</v>
      </c>
      <c r="F34" s="203">
        <v>-45000</v>
      </c>
    </row>
    <row r="35" spans="2:6" outlineLevel="1" x14ac:dyDescent="0.45">
      <c r="B35" s="96" t="s">
        <v>556</v>
      </c>
      <c r="C35" s="203">
        <v>-242078</v>
      </c>
      <c r="D35" s="203">
        <v>-753081</v>
      </c>
      <c r="E35" s="203">
        <v>-1100000</v>
      </c>
      <c r="F35" s="203">
        <v>-1160724</v>
      </c>
    </row>
    <row r="36" spans="2:6" ht="13.35" outlineLevel="1" thickBot="1" x14ac:dyDescent="0.5">
      <c r="B36" s="96" t="s">
        <v>557</v>
      </c>
      <c r="C36" s="204">
        <v>-1316</v>
      </c>
      <c r="D36" s="204">
        <v>-4375</v>
      </c>
      <c r="E36" s="204">
        <v>-3413</v>
      </c>
      <c r="F36" s="204">
        <v>-122</v>
      </c>
    </row>
    <row r="37" spans="2:6" ht="13.35" thickBot="1" x14ac:dyDescent="0.5">
      <c r="B37" s="100" t="s">
        <v>558</v>
      </c>
      <c r="C37" s="102">
        <f>SUM(C30:C36)</f>
        <v>-140606</v>
      </c>
      <c r="D37" s="102">
        <f>SUM(D30:D36)</f>
        <v>-748748</v>
      </c>
      <c r="E37" s="102">
        <f t="shared" ref="E37:F37" si="1">SUM(E30:E36)</f>
        <v>-1116300</v>
      </c>
      <c r="F37" s="102">
        <f t="shared" si="1"/>
        <v>-1196871</v>
      </c>
    </row>
    <row r="38" spans="2:6" ht="13.35" outlineLevel="1" thickTop="1" x14ac:dyDescent="0.45">
      <c r="B38" s="96" t="s">
        <v>559</v>
      </c>
      <c r="C38" s="203">
        <v>17154</v>
      </c>
      <c r="D38" s="203">
        <v>2369</v>
      </c>
      <c r="E38" s="203">
        <v>-65296</v>
      </c>
      <c r="F38" s="203">
        <v>-2979</v>
      </c>
    </row>
    <row r="39" spans="2:6" x14ac:dyDescent="0.45">
      <c r="B39" s="100" t="s">
        <v>560</v>
      </c>
      <c r="C39" s="203">
        <v>507443</v>
      </c>
      <c r="D39" s="203">
        <v>197213</v>
      </c>
      <c r="E39" s="203">
        <v>-15319</v>
      </c>
      <c r="F39" s="203">
        <v>21323</v>
      </c>
    </row>
    <row r="40" spans="2:6" ht="13.35" outlineLevel="1" thickBot="1" x14ac:dyDescent="0.5">
      <c r="B40" s="96" t="s">
        <v>561</v>
      </c>
      <c r="C40" s="204">
        <v>730527</v>
      </c>
      <c r="D40" s="204">
        <v>1237970</v>
      </c>
      <c r="E40" s="204">
        <v>1435183</v>
      </c>
      <c r="F40" s="204">
        <v>1419864</v>
      </c>
    </row>
    <row r="41" spans="2:6" x14ac:dyDescent="0.45">
      <c r="B41" s="100" t="s">
        <v>562</v>
      </c>
      <c r="C41" s="71">
        <f>SUM(C39:C40)</f>
        <v>1237970</v>
      </c>
      <c r="D41" s="71">
        <f t="shared" ref="D41:E41" si="2">SUM(D39:D40)</f>
        <v>1435183</v>
      </c>
      <c r="E41" s="71">
        <f t="shared" si="2"/>
        <v>1419864</v>
      </c>
      <c r="F41" s="71">
        <f>SUM(F39:F40)</f>
        <v>1441187</v>
      </c>
    </row>
    <row r="42" spans="2:6" x14ac:dyDescent="0.45">
      <c r="B42" s="100" t="s">
        <v>563</v>
      </c>
      <c r="C42" s="36"/>
      <c r="D42" s="69"/>
      <c r="E42" s="69"/>
      <c r="F42" s="69"/>
    </row>
    <row r="43" spans="2:6" x14ac:dyDescent="0.45">
      <c r="B43" s="96" t="s">
        <v>564</v>
      </c>
      <c r="C43" s="203">
        <v>70711</v>
      </c>
      <c r="D43" s="203">
        <v>149762</v>
      </c>
      <c r="E43" s="203">
        <v>167768</v>
      </c>
      <c r="F43" s="203">
        <v>97956</v>
      </c>
    </row>
    <row r="44" spans="2:6" x14ac:dyDescent="0.45">
      <c r="B44" s="96" t="s">
        <v>565</v>
      </c>
      <c r="C44" s="203">
        <v>5136</v>
      </c>
      <c r="D44" s="203">
        <v>3365</v>
      </c>
      <c r="E44" s="203">
        <v>1258</v>
      </c>
      <c r="F44" s="203">
        <v>996</v>
      </c>
    </row>
    <row r="45" spans="2:6" x14ac:dyDescent="0.45">
      <c r="B45" s="100" t="s">
        <v>566</v>
      </c>
      <c r="C45" s="69"/>
      <c r="D45" s="69"/>
      <c r="E45" s="69"/>
      <c r="F45" s="69"/>
    </row>
    <row r="46" spans="2:6" x14ac:dyDescent="0.45">
      <c r="B46" s="96" t="s">
        <v>567</v>
      </c>
      <c r="C46" s="203">
        <v>6900</v>
      </c>
      <c r="D46" s="203">
        <v>8654</v>
      </c>
      <c r="E46" s="203">
        <v>17857</v>
      </c>
      <c r="F46" s="203">
        <v>21672</v>
      </c>
    </row>
    <row r="47" spans="2:6" x14ac:dyDescent="0.45">
      <c r="B47" s="96" t="s">
        <v>568</v>
      </c>
      <c r="C47" s="205">
        <v>0</v>
      </c>
      <c r="D47" s="205">
        <v>0</v>
      </c>
      <c r="E47" s="203">
        <v>14280</v>
      </c>
      <c r="F47" s="203">
        <v>2000</v>
      </c>
    </row>
  </sheetData>
  <mergeCells count="1">
    <mergeCell ref="B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D17BF-BAEA-4BA1-8F5C-0408A6EE1772}">
  <dimension ref="A1:S63"/>
  <sheetViews>
    <sheetView topLeftCell="A31" zoomScaleNormal="100" workbookViewId="0">
      <selection activeCell="B25" sqref="B25"/>
    </sheetView>
  </sheetViews>
  <sheetFormatPr baseColWidth="10" defaultColWidth="8.64453125" defaultRowHeight="13" x14ac:dyDescent="0.45"/>
  <cols>
    <col min="1" max="1" width="5.64453125" style="36" customWidth="1"/>
    <col min="2" max="2" width="53.3515625" style="36" bestFit="1" customWidth="1"/>
    <col min="3" max="3" width="10.64453125" style="36" bestFit="1" customWidth="1"/>
    <col min="4" max="16" width="17.46875" style="36" customWidth="1"/>
    <col min="17" max="16384" width="8.64453125" style="36"/>
  </cols>
  <sheetData>
    <row r="1" spans="1:14" x14ac:dyDescent="0.45">
      <c r="A1" s="147"/>
    </row>
    <row r="3" spans="1:14" ht="15.7" x14ac:dyDescent="0.55000000000000004">
      <c r="B3" s="150" t="s">
        <v>569</v>
      </c>
      <c r="C3" s="103"/>
      <c r="D3" s="103"/>
      <c r="E3" s="103"/>
      <c r="F3" s="104"/>
      <c r="G3" s="103"/>
      <c r="H3" s="103"/>
      <c r="I3" s="103"/>
      <c r="J3" s="103"/>
      <c r="K3" s="103"/>
      <c r="L3" s="103"/>
    </row>
    <row r="4" spans="1:14" ht="3" customHeight="1" x14ac:dyDescent="0.45">
      <c r="B4" s="105"/>
      <c r="C4" s="105"/>
      <c r="D4" s="105"/>
      <c r="E4" s="105"/>
      <c r="F4" s="106"/>
      <c r="G4" s="105"/>
      <c r="H4" s="105"/>
      <c r="I4" s="105"/>
      <c r="J4" s="105"/>
      <c r="K4" s="105"/>
      <c r="L4" s="105"/>
    </row>
    <row r="5" spans="1:14" ht="15" customHeight="1" x14ac:dyDescent="0.45">
      <c r="B5" s="105"/>
      <c r="C5" s="107" t="s">
        <v>570</v>
      </c>
      <c r="D5" s="107"/>
      <c r="E5" s="107"/>
      <c r="F5" s="108"/>
      <c r="G5" s="109" t="s">
        <v>571</v>
      </c>
      <c r="H5" s="109"/>
      <c r="I5" s="109"/>
      <c r="J5" s="109"/>
      <c r="K5" s="109"/>
      <c r="L5" s="109"/>
    </row>
    <row r="6" spans="1:14" x14ac:dyDescent="0.45">
      <c r="B6" s="105"/>
      <c r="C6" s="105"/>
      <c r="D6" s="105"/>
      <c r="E6" s="105"/>
      <c r="F6" s="106"/>
      <c r="G6" s="105"/>
      <c r="H6" s="105"/>
      <c r="I6" s="105"/>
      <c r="J6" s="105"/>
      <c r="K6" s="105"/>
      <c r="L6" s="105"/>
    </row>
    <row r="7" spans="1:14" x14ac:dyDescent="0.45">
      <c r="B7" s="105"/>
      <c r="C7" s="110">
        <v>2020</v>
      </c>
      <c r="D7" s="110">
        <v>2021</v>
      </c>
      <c r="E7" s="110">
        <v>2022</v>
      </c>
      <c r="F7" s="111">
        <v>2023</v>
      </c>
      <c r="G7" s="112" t="s">
        <v>572</v>
      </c>
      <c r="H7" s="112" t="s">
        <v>573</v>
      </c>
      <c r="I7" s="112" t="s">
        <v>574</v>
      </c>
      <c r="J7" s="112" t="s">
        <v>575</v>
      </c>
      <c r="K7" s="112" t="s">
        <v>576</v>
      </c>
      <c r="L7" s="112" t="s">
        <v>577</v>
      </c>
      <c r="M7" s="151" t="s">
        <v>578</v>
      </c>
      <c r="N7" s="210">
        <v>9.4E-2</v>
      </c>
    </row>
    <row r="8" spans="1:14" x14ac:dyDescent="0.45">
      <c r="B8" s="302"/>
      <c r="C8" s="105"/>
      <c r="D8" s="105"/>
      <c r="E8" s="105"/>
      <c r="F8" s="106"/>
      <c r="G8" s="105"/>
      <c r="H8" s="105"/>
      <c r="I8" s="105"/>
      <c r="J8" s="105"/>
      <c r="K8" s="105"/>
      <c r="L8" s="105"/>
    </row>
    <row r="9" spans="1:14" x14ac:dyDescent="0.45">
      <c r="B9" s="303" t="s">
        <v>579</v>
      </c>
      <c r="C9" s="152">
        <f>'Income Statement'!C8</f>
        <v>3685281</v>
      </c>
      <c r="D9" s="152">
        <f>'Income Statement'!D8</f>
        <v>4204193</v>
      </c>
      <c r="E9" s="152">
        <f>'Income Statement'!E8</f>
        <v>5081542</v>
      </c>
      <c r="F9" s="153">
        <f>'Income Statement'!F8</f>
        <v>5842619</v>
      </c>
      <c r="G9" s="114">
        <f>F9*(1+G11)</f>
        <v>6391825.1860000007</v>
      </c>
      <c r="H9" s="114">
        <f t="shared" ref="H9:K9" si="0">G9*(1+H11)</f>
        <v>6992656.7534840014</v>
      </c>
      <c r="I9" s="114">
        <f t="shared" si="0"/>
        <v>7649966.4883114984</v>
      </c>
      <c r="J9" s="114">
        <f t="shared" si="0"/>
        <v>8369063.3382127797</v>
      </c>
      <c r="K9" s="114">
        <f t="shared" si="0"/>
        <v>9155755.2920047808</v>
      </c>
      <c r="L9" s="114">
        <f>K9*(1+L11)</f>
        <v>10016396.289453231</v>
      </c>
    </row>
    <row r="10" spans="1:14" x14ac:dyDescent="0.45">
      <c r="B10" s="304" t="s">
        <v>580</v>
      </c>
      <c r="C10" s="116"/>
      <c r="D10" s="116">
        <f>(D9/C9)-1</f>
        <v>0.14080663048489384</v>
      </c>
      <c r="E10" s="116">
        <f t="shared" ref="E10" si="1">(E9/D9)-1</f>
        <v>0.20868428257218441</v>
      </c>
      <c r="F10" s="117">
        <f>(F9/E9)-1</f>
        <v>0.14977284454207007</v>
      </c>
    </row>
    <row r="11" spans="1:14" x14ac:dyDescent="0.45">
      <c r="B11" s="304" t="s">
        <v>581</v>
      </c>
      <c r="C11" s="105"/>
      <c r="D11" s="105"/>
      <c r="E11" s="105"/>
      <c r="F11" s="106"/>
      <c r="G11" s="116">
        <f t="shared" ref="G11:L11" si="2">$N$7</f>
        <v>9.4E-2</v>
      </c>
      <c r="H11" s="116">
        <f t="shared" si="2"/>
        <v>9.4E-2</v>
      </c>
      <c r="I11" s="116">
        <f t="shared" si="2"/>
        <v>9.4E-2</v>
      </c>
      <c r="J11" s="116">
        <f t="shared" si="2"/>
        <v>9.4E-2</v>
      </c>
      <c r="K11" s="116">
        <f t="shared" si="2"/>
        <v>9.4E-2</v>
      </c>
      <c r="L11" s="116">
        <f t="shared" si="2"/>
        <v>9.4E-2</v>
      </c>
    </row>
    <row r="12" spans="1:14" x14ac:dyDescent="0.45">
      <c r="B12" s="304"/>
      <c r="C12" s="105"/>
      <c r="D12" s="105"/>
      <c r="E12" s="105"/>
      <c r="F12" s="106"/>
      <c r="G12" s="116"/>
      <c r="H12" s="116"/>
      <c r="I12" s="116"/>
      <c r="J12" s="116"/>
      <c r="K12" s="116"/>
      <c r="L12" s="116"/>
    </row>
    <row r="13" spans="1:14" x14ac:dyDescent="0.45">
      <c r="B13" s="303" t="s">
        <v>512</v>
      </c>
      <c r="C13" s="152">
        <f>'Income Statement'!C12</f>
        <v>794690</v>
      </c>
      <c r="D13" s="152">
        <f>'Income Statement'!D12</f>
        <v>861777</v>
      </c>
      <c r="E13" s="152">
        <f>'Income Statement'!E12</f>
        <v>1063697</v>
      </c>
      <c r="F13" s="153">
        <f>'Income Statement'!F12</f>
        <v>1222193</v>
      </c>
      <c r="G13" s="119">
        <f>G15*G9</f>
        <v>1328416.8787428045</v>
      </c>
      <c r="H13" s="119">
        <f t="shared" ref="H13:L13" si="3">H15*H9</f>
        <v>1453288.0653446282</v>
      </c>
      <c r="I13" s="119">
        <f t="shared" si="3"/>
        <v>1589897.1434870234</v>
      </c>
      <c r="J13" s="119">
        <f t="shared" si="3"/>
        <v>1739347.4749748039</v>
      </c>
      <c r="K13" s="119">
        <f t="shared" si="3"/>
        <v>1902846.1376224353</v>
      </c>
      <c r="L13" s="119">
        <f t="shared" si="3"/>
        <v>2081713.6745589443</v>
      </c>
    </row>
    <row r="14" spans="1:14" x14ac:dyDescent="0.45">
      <c r="B14" s="304" t="s">
        <v>580</v>
      </c>
      <c r="C14" s="105"/>
      <c r="D14" s="242">
        <f>(D13/C13)-1</f>
        <v>8.4419081654481642E-2</v>
      </c>
      <c r="E14" s="242">
        <f t="shared" ref="E14:F14" si="4">(E13/D13)-1</f>
        <v>0.23430655494402841</v>
      </c>
      <c r="F14" s="243">
        <f t="shared" si="4"/>
        <v>0.14900483878397708</v>
      </c>
      <c r="G14" s="116"/>
      <c r="H14" s="116"/>
      <c r="I14" s="116"/>
      <c r="J14" s="116"/>
      <c r="K14" s="116"/>
      <c r="L14" s="116"/>
    </row>
    <row r="15" spans="1:14" x14ac:dyDescent="0.45">
      <c r="B15" s="304" t="s">
        <v>582</v>
      </c>
      <c r="C15" s="116">
        <f>C13/C9</f>
        <v>0.21563891600124929</v>
      </c>
      <c r="D15" s="116">
        <f t="shared" ref="D15:F15" si="5">D13/D9</f>
        <v>0.20498036127266278</v>
      </c>
      <c r="E15" s="116">
        <f t="shared" si="5"/>
        <v>0.20932563383319472</v>
      </c>
      <c r="F15" s="117">
        <f t="shared" si="5"/>
        <v>0.20918581204764508</v>
      </c>
      <c r="G15" s="237">
        <f>AVERAGE($D$15:$F$16)</f>
        <v>0.20783060238450088</v>
      </c>
      <c r="H15" s="237">
        <f t="shared" ref="H15:L15" si="6">AVERAGE($D$15:$F$16)</f>
        <v>0.20783060238450088</v>
      </c>
      <c r="I15" s="237">
        <f t="shared" si="6"/>
        <v>0.20783060238450088</v>
      </c>
      <c r="J15" s="237">
        <f t="shared" si="6"/>
        <v>0.20783060238450088</v>
      </c>
      <c r="K15" s="237">
        <f t="shared" si="6"/>
        <v>0.20783060238450088</v>
      </c>
      <c r="L15" s="237">
        <f t="shared" si="6"/>
        <v>0.20783060238450088</v>
      </c>
    </row>
    <row r="16" spans="1:14" x14ac:dyDescent="0.45">
      <c r="B16" s="302"/>
      <c r="C16" s="105"/>
      <c r="D16" s="105"/>
      <c r="E16" s="105"/>
      <c r="F16" s="118"/>
      <c r="G16" s="105"/>
      <c r="H16" s="105"/>
      <c r="I16" s="105"/>
      <c r="J16" s="105"/>
      <c r="K16" s="105"/>
      <c r="L16" s="105"/>
    </row>
    <row r="17" spans="2:19" x14ac:dyDescent="0.45">
      <c r="B17" s="303" t="s">
        <v>583</v>
      </c>
      <c r="C17" s="152">
        <f>'Income Statement'!C19</f>
        <v>2270450</v>
      </c>
      <c r="D17" s="152">
        <f>'Income Statement'!D19</f>
        <v>2607626</v>
      </c>
      <c r="E17" s="152">
        <f>'Income Statement'!E19</f>
        <v>2855807</v>
      </c>
      <c r="F17" s="153">
        <f>'Income Statement'!F19</f>
        <v>3351167</v>
      </c>
      <c r="G17" s="119">
        <f>G9*G19</f>
        <v>3778336.5510777002</v>
      </c>
      <c r="H17" s="119">
        <f>H9*H19</f>
        <v>4133500.1868790044</v>
      </c>
      <c r="I17" s="119">
        <f t="shared" ref="I17:L17" si="7">I9*I19</f>
        <v>4522049.2044456312</v>
      </c>
      <c r="J17" s="119">
        <f t="shared" si="7"/>
        <v>4947121.8296635207</v>
      </c>
      <c r="K17" s="119">
        <f t="shared" si="7"/>
        <v>5412151.2816518918</v>
      </c>
      <c r="L17" s="119">
        <f t="shared" si="7"/>
        <v>5920893.5021271696</v>
      </c>
    </row>
    <row r="18" spans="2:19" x14ac:dyDescent="0.45">
      <c r="B18" s="304" t="s">
        <v>580</v>
      </c>
      <c r="C18" s="116"/>
      <c r="D18" s="116">
        <f>(D17/C17)-1</f>
        <v>0.14850624325574224</v>
      </c>
      <c r="E18" s="116">
        <f t="shared" ref="E18" si="8">(E17/D17)-1</f>
        <v>9.5175074953233407E-2</v>
      </c>
      <c r="F18" s="117">
        <f>(F17/E17)-1</f>
        <v>0.17345709986704283</v>
      </c>
      <c r="G18" s="120">
        <f>(G17/F17)-1</f>
        <v>0.1274688939935551</v>
      </c>
      <c r="H18" s="120">
        <f t="shared" ref="H18:K18" si="9">(H17/G17)-1</f>
        <v>9.4000000000000083E-2</v>
      </c>
      <c r="I18" s="120">
        <f t="shared" si="9"/>
        <v>9.4000000000000083E-2</v>
      </c>
      <c r="J18" s="120">
        <f t="shared" si="9"/>
        <v>9.4000000000000083E-2</v>
      </c>
      <c r="K18" s="120">
        <f t="shared" si="9"/>
        <v>9.4000000000000083E-2</v>
      </c>
      <c r="L18" s="120">
        <f>(L17/K17)-1</f>
        <v>9.4000000000000083E-2</v>
      </c>
    </row>
    <row r="19" spans="2:19" x14ac:dyDescent="0.45">
      <c r="B19" s="304" t="s">
        <v>582</v>
      </c>
      <c r="C19" s="116">
        <f>C17/C9</f>
        <v>0.61608599181446411</v>
      </c>
      <c r="D19" s="116">
        <f>D17/D9</f>
        <v>0.62024412295058762</v>
      </c>
      <c r="E19" s="116">
        <f>E17/E9</f>
        <v>0.56199614211591675</v>
      </c>
      <c r="F19" s="117">
        <f>F17/F9</f>
        <v>0.57357274195014252</v>
      </c>
      <c r="G19" s="237">
        <f>AVERAGE($D$19:$E$19)</f>
        <v>0.59112013253325224</v>
      </c>
      <c r="H19" s="237">
        <f>AVERAGE($D$19:$E$19)</f>
        <v>0.59112013253325224</v>
      </c>
      <c r="I19" s="237">
        <f t="shared" ref="I19:L19" si="10">AVERAGE($D$19:$E$19)</f>
        <v>0.59112013253325224</v>
      </c>
      <c r="J19" s="237">
        <f t="shared" si="10"/>
        <v>0.59112013253325224</v>
      </c>
      <c r="K19" s="237">
        <f t="shared" si="10"/>
        <v>0.59112013253325224</v>
      </c>
      <c r="L19" s="237">
        <f t="shared" si="10"/>
        <v>0.59112013253325224</v>
      </c>
    </row>
    <row r="20" spans="2:19" x14ac:dyDescent="0.45">
      <c r="B20" s="302"/>
      <c r="C20" s="121"/>
      <c r="D20" s="121"/>
      <c r="E20" s="121"/>
      <c r="F20" s="122"/>
      <c r="G20" s="121"/>
      <c r="H20" s="105"/>
      <c r="I20" s="105"/>
      <c r="J20" s="105"/>
      <c r="K20" s="105"/>
      <c r="L20" s="105"/>
    </row>
    <row r="21" spans="2:19" x14ac:dyDescent="0.45">
      <c r="B21" s="303" t="s">
        <v>584</v>
      </c>
      <c r="C21" s="129">
        <f>C9-C13-C17</f>
        <v>620141</v>
      </c>
      <c r="D21" s="129">
        <f t="shared" ref="D21:L21" si="11">D9-D13-D17</f>
        <v>734790</v>
      </c>
      <c r="E21" s="129">
        <f t="shared" si="11"/>
        <v>1162038</v>
      </c>
      <c r="F21" s="244">
        <f t="shared" si="11"/>
        <v>1269259</v>
      </c>
      <c r="G21" s="129">
        <f>G9-G13-G17</f>
        <v>1285071.7561794957</v>
      </c>
      <c r="H21" s="129">
        <f t="shared" si="11"/>
        <v>1405868.5012603691</v>
      </c>
      <c r="I21" s="129">
        <f t="shared" si="11"/>
        <v>1538020.140378844</v>
      </c>
      <c r="J21" s="129">
        <f t="shared" si="11"/>
        <v>1682594.0335744554</v>
      </c>
      <c r="K21" s="129">
        <f t="shared" si="11"/>
        <v>1840757.8727304535</v>
      </c>
      <c r="L21" s="129">
        <f t="shared" si="11"/>
        <v>2013789.1127671171</v>
      </c>
    </row>
    <row r="22" spans="2:19" x14ac:dyDescent="0.45">
      <c r="B22" s="304" t="s">
        <v>580</v>
      </c>
      <c r="C22" s="116"/>
      <c r="D22" s="116">
        <f>(D21/C21)-1</f>
        <v>0.18487569762360501</v>
      </c>
      <c r="E22" s="116">
        <f t="shared" ref="E22" si="12">(E21/D21)-1</f>
        <v>0.58145592618299102</v>
      </c>
      <c r="F22" s="117">
        <f>(F21/E21)-1</f>
        <v>9.2269788079219373E-2</v>
      </c>
      <c r="G22" s="116">
        <f t="shared" ref="G22:K22" si="13">(G21/F21)-1</f>
        <v>1.2458258069862671E-2</v>
      </c>
      <c r="H22" s="116">
        <f t="shared" si="13"/>
        <v>9.4000000000000528E-2</v>
      </c>
      <c r="I22" s="116">
        <f t="shared" si="13"/>
        <v>9.4000000000000083E-2</v>
      </c>
      <c r="J22" s="116">
        <f t="shared" si="13"/>
        <v>9.4000000000000083E-2</v>
      </c>
      <c r="K22" s="116">
        <f t="shared" si="13"/>
        <v>9.3999999999999639E-2</v>
      </c>
      <c r="L22" s="116">
        <f>(L21/K21)-1</f>
        <v>9.4000000000000528E-2</v>
      </c>
    </row>
    <row r="23" spans="2:19" x14ac:dyDescent="0.45">
      <c r="B23" s="304" t="s">
        <v>582</v>
      </c>
      <c r="C23" s="116">
        <f>C21/C9</f>
        <v>0.16827509218428663</v>
      </c>
      <c r="D23" s="116">
        <f t="shared" ref="D23:L23" si="14">D21/D9</f>
        <v>0.17477551577674955</v>
      </c>
      <c r="E23" s="116">
        <f t="shared" si="14"/>
        <v>0.2286782240508885</v>
      </c>
      <c r="F23" s="117">
        <f t="shared" si="14"/>
        <v>0.21724144600221237</v>
      </c>
      <c r="G23" s="116">
        <f>G21/G9</f>
        <v>0.20104926508224683</v>
      </c>
      <c r="H23" s="116">
        <f>H21/H9</f>
        <v>0.20104926508224691</v>
      </c>
      <c r="I23" s="116">
        <f t="shared" si="14"/>
        <v>0.20104926508224691</v>
      </c>
      <c r="J23" s="116">
        <f t="shared" si="14"/>
        <v>0.20104926508224691</v>
      </c>
      <c r="K23" s="116">
        <f t="shared" si="14"/>
        <v>0.20104926508224685</v>
      </c>
      <c r="L23" s="116">
        <f t="shared" si="14"/>
        <v>0.20104926508224694</v>
      </c>
    </row>
    <row r="24" spans="2:19" x14ac:dyDescent="0.45">
      <c r="B24" s="302"/>
      <c r="C24" s="105"/>
      <c r="D24" s="105"/>
      <c r="E24" s="105"/>
      <c r="F24" s="106"/>
      <c r="G24" s="105"/>
      <c r="H24" s="105"/>
      <c r="I24" s="105"/>
      <c r="J24" s="105"/>
      <c r="K24" s="105"/>
      <c r="L24" s="105"/>
    </row>
    <row r="25" spans="2:19" x14ac:dyDescent="0.45">
      <c r="B25" s="303" t="s">
        <v>585</v>
      </c>
      <c r="C25" s="152">
        <f>'Cash Flow Statement'!C5</f>
        <v>209986</v>
      </c>
      <c r="D25" s="152">
        <f>'Cash Flow Statement'!D5</f>
        <v>203676</v>
      </c>
      <c r="E25" s="152">
        <f>'Cash Flow Statement'!E5</f>
        <v>228405</v>
      </c>
      <c r="F25" s="153">
        <f>'Cash Flow Statement'!F5</f>
        <v>247120</v>
      </c>
      <c r="G25" s="114">
        <f>G27*G53</f>
        <v>282111.2030549199</v>
      </c>
      <c r="H25" s="114">
        <f t="shared" ref="H25:L25" si="15">H27*H53</f>
        <v>308629.65614208241</v>
      </c>
      <c r="I25" s="114">
        <f t="shared" si="15"/>
        <v>337640.84381943819</v>
      </c>
      <c r="J25" s="114">
        <f t="shared" si="15"/>
        <v>369379.08313846542</v>
      </c>
      <c r="K25" s="114">
        <f t="shared" si="15"/>
        <v>404100.71695348114</v>
      </c>
      <c r="L25" s="114">
        <f t="shared" si="15"/>
        <v>442086.18434710836</v>
      </c>
    </row>
    <row r="26" spans="2:19" x14ac:dyDescent="0.45">
      <c r="B26" s="304" t="s">
        <v>580</v>
      </c>
      <c r="C26" s="116"/>
      <c r="D26" s="116">
        <f>(D25/C25)-1</f>
        <v>-3.0049622355776129E-2</v>
      </c>
      <c r="E26" s="116">
        <f t="shared" ref="E26:G26" si="16">(E25/D25)-1</f>
        <v>0.12141342131620814</v>
      </c>
      <c r="F26" s="117">
        <f t="shared" si="16"/>
        <v>8.1937785950395137E-2</v>
      </c>
      <c r="G26" s="238">
        <f t="shared" si="16"/>
        <v>0.14159599811799883</v>
      </c>
      <c r="H26" s="237">
        <f t="shared" ref="H26" si="17">(H25/G25)-1</f>
        <v>9.4000000000000083E-2</v>
      </c>
      <c r="I26" s="237">
        <f t="shared" ref="I26" si="18">(I25/H25)-1</f>
        <v>9.4000000000000083E-2</v>
      </c>
      <c r="J26" s="237">
        <f t="shared" ref="J26" si="19">(J25/I25)-1</f>
        <v>9.4000000000000083E-2</v>
      </c>
      <c r="K26" s="237">
        <f t="shared" ref="K26" si="20">(K25/J25)-1</f>
        <v>9.3999999999999861E-2</v>
      </c>
      <c r="L26" s="237">
        <f t="shared" ref="L26" si="21">(L25/K25)-1</f>
        <v>9.3999999999999861E-2</v>
      </c>
    </row>
    <row r="27" spans="2:19" x14ac:dyDescent="0.45">
      <c r="B27" s="304" t="s">
        <v>586</v>
      </c>
      <c r="C27" s="116">
        <f>C25/C53</f>
        <v>1.3572264198504367</v>
      </c>
      <c r="D27" s="116">
        <f>D25/D53</f>
        <v>2.1722196152041295</v>
      </c>
      <c r="E27" s="116">
        <f t="shared" ref="E27" si="22">E25/E53</f>
        <v>1.6722064002225656</v>
      </c>
      <c r="F27" s="117">
        <f>F25/F53</f>
        <v>1.3032518009893574</v>
      </c>
      <c r="G27" s="237">
        <f>AVERAGE($E$27:$F$27)</f>
        <v>1.4877291006059616</v>
      </c>
      <c r="H27" s="237">
        <f t="shared" ref="H27:K27" si="23">AVERAGE($E$27:$F$27)</f>
        <v>1.4877291006059616</v>
      </c>
      <c r="I27" s="237">
        <f t="shared" si="23"/>
        <v>1.4877291006059616</v>
      </c>
      <c r="J27" s="237">
        <f t="shared" si="23"/>
        <v>1.4877291006059616</v>
      </c>
      <c r="K27" s="237">
        <f t="shared" si="23"/>
        <v>1.4877291006059616</v>
      </c>
      <c r="L27" s="237">
        <f>AVERAGE($E$27:$F$27)</f>
        <v>1.4877291006059616</v>
      </c>
    </row>
    <row r="28" spans="2:19" x14ac:dyDescent="0.45">
      <c r="B28" s="304"/>
      <c r="C28" s="105"/>
      <c r="D28" s="105"/>
      <c r="E28" s="105"/>
      <c r="F28" s="106"/>
      <c r="G28" s="105"/>
      <c r="H28" s="105"/>
      <c r="I28" s="105"/>
      <c r="J28" s="105"/>
      <c r="K28" s="105"/>
      <c r="L28" s="105"/>
    </row>
    <row r="29" spans="2:19" x14ac:dyDescent="0.45">
      <c r="B29" s="303" t="s">
        <v>587</v>
      </c>
      <c r="C29" s="114">
        <f>C21+C25</f>
        <v>830127</v>
      </c>
      <c r="D29" s="114">
        <f t="shared" ref="D29:K29" si="24">D21+D25</f>
        <v>938466</v>
      </c>
      <c r="E29" s="114">
        <f t="shared" si="24"/>
        <v>1390443</v>
      </c>
      <c r="F29" s="124">
        <f>F21+F25</f>
        <v>1516379</v>
      </c>
      <c r="G29" s="125">
        <f>G21+G25</f>
        <v>1567182.9592344156</v>
      </c>
      <c r="H29" s="114">
        <f t="shared" si="24"/>
        <v>1714498.1574024516</v>
      </c>
      <c r="I29" s="114">
        <f t="shared" si="24"/>
        <v>1875660.9841982822</v>
      </c>
      <c r="J29" s="114">
        <f t="shared" si="24"/>
        <v>2051973.1167129208</v>
      </c>
      <c r="K29" s="114">
        <f t="shared" si="24"/>
        <v>2244858.5896839346</v>
      </c>
      <c r="L29" s="114">
        <f>L21+L25</f>
        <v>2455875.2971142256</v>
      </c>
    </row>
    <row r="30" spans="2:19" x14ac:dyDescent="0.45">
      <c r="B30" s="304" t="s">
        <v>580</v>
      </c>
      <c r="C30" s="116"/>
      <c r="D30" s="116">
        <f>(D29/C29)-1</f>
        <v>0.13050894622148168</v>
      </c>
      <c r="E30" s="116">
        <f t="shared" ref="E30:G30" si="25">(E29/D29)-1</f>
        <v>0.48161254643215634</v>
      </c>
      <c r="F30" s="117">
        <f t="shared" si="25"/>
        <v>9.0572572913812266E-2</v>
      </c>
      <c r="G30" s="123">
        <f t="shared" si="25"/>
        <v>3.3503470593047924E-2</v>
      </c>
      <c r="H30" s="116">
        <f t="shared" ref="H30" si="26">(H29/G29)-1</f>
        <v>9.4000000000000528E-2</v>
      </c>
      <c r="I30" s="116">
        <f t="shared" ref="I30" si="27">(I29/H29)-1</f>
        <v>9.4000000000000083E-2</v>
      </c>
      <c r="J30" s="116">
        <f t="shared" ref="J30" si="28">(J29/I29)-1</f>
        <v>9.4000000000000083E-2</v>
      </c>
      <c r="K30" s="116">
        <f t="shared" ref="K30" si="29">(K29/J29)-1</f>
        <v>9.3999999999999639E-2</v>
      </c>
      <c r="L30" s="116">
        <f t="shared" ref="L30" si="30">(L29/K29)-1</f>
        <v>9.4000000000000528E-2</v>
      </c>
    </row>
    <row r="31" spans="2:19" x14ac:dyDescent="0.45">
      <c r="B31" s="304"/>
      <c r="C31" s="105"/>
      <c r="D31" s="105"/>
      <c r="E31" s="105"/>
      <c r="F31" s="106"/>
      <c r="G31" s="126"/>
      <c r="H31" s="105"/>
      <c r="I31" s="105"/>
      <c r="J31" s="105"/>
      <c r="K31" s="105"/>
      <c r="L31" s="105"/>
    </row>
    <row r="32" spans="2:19" ht="14.35" x14ac:dyDescent="0.5">
      <c r="B32" s="168" t="s">
        <v>588</v>
      </c>
      <c r="C32" s="251">
        <v>5140</v>
      </c>
      <c r="D32" s="251">
        <v>3365</v>
      </c>
      <c r="E32" s="251">
        <v>1698</v>
      </c>
      <c r="F32" s="311">
        <v>1178</v>
      </c>
      <c r="G32" s="129">
        <f>-(G33*G21)</f>
        <v>4901.6825509339533</v>
      </c>
      <c r="H32" s="129">
        <f t="shared" ref="H32:L32" si="31">-(H33*H21)</f>
        <v>5362.4407107217485</v>
      </c>
      <c r="I32" s="129">
        <f t="shared" si="31"/>
        <v>5866.5101375295935</v>
      </c>
      <c r="J32" s="129">
        <f t="shared" si="31"/>
        <v>6417.9620904573758</v>
      </c>
      <c r="K32" s="129">
        <f t="shared" si="31"/>
        <v>7021.2505269603662</v>
      </c>
      <c r="L32" s="129">
        <f t="shared" si="31"/>
        <v>7681.248076494644</v>
      </c>
      <c r="O32"/>
      <c r="P32" s="35"/>
      <c r="Q32" s="35"/>
      <c r="R32" s="35"/>
      <c r="S32" s="35"/>
    </row>
    <row r="33" spans="2:12" x14ac:dyDescent="0.45">
      <c r="B33" s="304" t="s">
        <v>589</v>
      </c>
      <c r="C33" s="116">
        <f>C32/C21*-1</f>
        <v>-8.2884376295068382E-3</v>
      </c>
      <c r="D33" s="116">
        <f>D32/D21*-1</f>
        <v>-4.579539732440561E-3</v>
      </c>
      <c r="E33" s="116">
        <f>E32/E21*-1</f>
        <v>-1.4612258807371187E-3</v>
      </c>
      <c r="F33" s="127">
        <f>F32/F21*-1</f>
        <v>-9.2810056891461871E-4</v>
      </c>
      <c r="G33" s="237">
        <f>AVERAGE($C$33:$F$33)</f>
        <v>-3.8143259528997837E-3</v>
      </c>
      <c r="H33" s="237">
        <f t="shared" ref="H33:L33" si="32">AVERAGE($C$33:$F$33)</f>
        <v>-3.8143259528997837E-3</v>
      </c>
      <c r="I33" s="237">
        <f t="shared" si="32"/>
        <v>-3.8143259528997837E-3</v>
      </c>
      <c r="J33" s="237">
        <f t="shared" si="32"/>
        <v>-3.8143259528997837E-3</v>
      </c>
      <c r="K33" s="237">
        <f t="shared" si="32"/>
        <v>-3.8143259528997837E-3</v>
      </c>
      <c r="L33" s="237">
        <f t="shared" si="32"/>
        <v>-3.8143259528997837E-3</v>
      </c>
    </row>
    <row r="34" spans="2:12" x14ac:dyDescent="0.45">
      <c r="B34" s="305" t="s">
        <v>580</v>
      </c>
      <c r="C34" s="116"/>
      <c r="D34" s="116">
        <f>(D32/C32)-1</f>
        <v>-0.34533073929961089</v>
      </c>
      <c r="E34" s="116">
        <f>(E32/D32)-1</f>
        <v>-0.49539375928677565</v>
      </c>
      <c r="F34" s="117">
        <f>(F32/E32)-1</f>
        <v>-0.30624263839811539</v>
      </c>
      <c r="G34" s="116">
        <f>F34</f>
        <v>-0.30624263839811539</v>
      </c>
      <c r="H34" s="116">
        <f>G34</f>
        <v>-0.30624263839811539</v>
      </c>
      <c r="I34" s="116">
        <f t="shared" ref="I34:K34" si="33">H34</f>
        <v>-0.30624263839811539</v>
      </c>
      <c r="J34" s="116">
        <f t="shared" si="33"/>
        <v>-0.30624263839811539</v>
      </c>
      <c r="K34" s="116">
        <f t="shared" si="33"/>
        <v>-0.30624263839811539</v>
      </c>
      <c r="L34" s="116">
        <f>K34</f>
        <v>-0.30624263839811539</v>
      </c>
    </row>
    <row r="35" spans="2:12" x14ac:dyDescent="0.45">
      <c r="F35" s="148"/>
    </row>
    <row r="36" spans="2:12" x14ac:dyDescent="0.45">
      <c r="B36" s="113" t="s">
        <v>590</v>
      </c>
      <c r="C36" s="129">
        <f t="shared" ref="C36:H36" si="34">C21-C32</f>
        <v>615001</v>
      </c>
      <c r="D36" s="129">
        <f t="shared" si="34"/>
        <v>731425</v>
      </c>
      <c r="E36" s="129">
        <f t="shared" si="34"/>
        <v>1160340</v>
      </c>
      <c r="F36" s="129">
        <f t="shared" si="34"/>
        <v>1268081</v>
      </c>
      <c r="G36" s="128">
        <f>G21-G32</f>
        <v>1280170.0736285618</v>
      </c>
      <c r="H36" s="129">
        <f t="shared" si="34"/>
        <v>1400506.0605496473</v>
      </c>
      <c r="I36" s="129">
        <f t="shared" ref="I36:L36" si="35">I21-I32</f>
        <v>1532153.6302413144</v>
      </c>
      <c r="J36" s="129">
        <f t="shared" si="35"/>
        <v>1676176.0714839981</v>
      </c>
      <c r="K36" s="129">
        <f t="shared" si="35"/>
        <v>1833736.622203493</v>
      </c>
      <c r="L36" s="129">
        <f t="shared" si="35"/>
        <v>2006107.8646906225</v>
      </c>
    </row>
    <row r="37" spans="2:12" x14ac:dyDescent="0.45">
      <c r="B37" s="115" t="s">
        <v>580</v>
      </c>
      <c r="C37" s="116"/>
      <c r="D37" s="116">
        <f>(D36/C36)-1</f>
        <v>0.18930700925689559</v>
      </c>
      <c r="E37" s="116">
        <f t="shared" ref="E37" si="36">(E36/D36)-1</f>
        <v>0.58641008989301713</v>
      </c>
      <c r="F37" s="117">
        <f>(F36/E36)-1</f>
        <v>9.2852956891945393E-2</v>
      </c>
      <c r="G37" s="116">
        <f t="shared" ref="G37" si="37">(G36/F36)-1</f>
        <v>9.5333607463259362E-3</v>
      </c>
      <c r="H37" s="116">
        <f t="shared" ref="H37" si="38">(H36/G36)-1</f>
        <v>9.4000000000000528E-2</v>
      </c>
      <c r="I37" s="116">
        <f t="shared" ref="I37" si="39">(I36/H36)-1</f>
        <v>9.4000000000000083E-2</v>
      </c>
      <c r="J37" s="116">
        <f t="shared" ref="J37" si="40">(J36/I36)-1</f>
        <v>9.4000000000000083E-2</v>
      </c>
      <c r="K37" s="116">
        <f t="shared" ref="K37" si="41">(K36/J36)-1</f>
        <v>9.3999999999999417E-2</v>
      </c>
      <c r="L37" s="116">
        <f t="shared" ref="L37" si="42">(L36/K36)-1</f>
        <v>9.400000000000075E-2</v>
      </c>
    </row>
    <row r="38" spans="2:12" x14ac:dyDescent="0.45">
      <c r="B38" s="115" t="s">
        <v>582</v>
      </c>
      <c r="C38" s="130">
        <f>C36/C9</f>
        <v>0.16688035457811765</v>
      </c>
      <c r="D38" s="130">
        <f t="shared" ref="D38:E38" si="43">D36/D9</f>
        <v>0.17397512435799212</v>
      </c>
      <c r="E38" s="130">
        <f t="shared" si="43"/>
        <v>0.22834407351154434</v>
      </c>
      <c r="F38" s="131">
        <f>F36/F9</f>
        <v>0.21703982409258588</v>
      </c>
      <c r="G38" s="116">
        <f>G36/G9</f>
        <v>0.20028239765263217</v>
      </c>
      <c r="H38" s="116">
        <f t="shared" ref="H38:L38" si="44">H36/H9</f>
        <v>0.20028239765263225</v>
      </c>
      <c r="I38" s="116">
        <f t="shared" si="44"/>
        <v>0.20028239765263228</v>
      </c>
      <c r="J38" s="116">
        <f t="shared" si="44"/>
        <v>0.20028239765263228</v>
      </c>
      <c r="K38" s="116">
        <f t="shared" si="44"/>
        <v>0.20028239765263217</v>
      </c>
      <c r="L38" s="116">
        <f t="shared" si="44"/>
        <v>0.20028239765263228</v>
      </c>
    </row>
    <row r="39" spans="2:12" x14ac:dyDescent="0.45">
      <c r="B39" s="105"/>
      <c r="C39" s="105"/>
      <c r="D39" s="105"/>
      <c r="E39" s="105"/>
      <c r="F39" s="106"/>
      <c r="G39" s="105"/>
      <c r="H39" s="105"/>
      <c r="I39" s="105"/>
      <c r="J39" s="105"/>
      <c r="K39" s="105"/>
      <c r="L39" s="105"/>
    </row>
    <row r="40" spans="2:12" x14ac:dyDescent="0.45">
      <c r="B40" s="113" t="s">
        <v>591</v>
      </c>
      <c r="C40" s="152">
        <f>'Income Statement'!C23</f>
        <v>-25288</v>
      </c>
      <c r="D40" s="152">
        <f>'Income Statement'!D23</f>
        <v>49155</v>
      </c>
      <c r="E40" s="152">
        <f>'Income Statement'!E23</f>
        <v>137078</v>
      </c>
      <c r="F40" s="153">
        <f>'Income Statement'!F23</f>
        <v>83657</v>
      </c>
      <c r="G40" s="114">
        <f>G36*G41</f>
        <v>228510.35814269827</v>
      </c>
      <c r="H40" s="114">
        <f t="shared" ref="H40:L40" si="45">H36*H41</f>
        <v>249990.33180811204</v>
      </c>
      <c r="I40" s="114">
        <f t="shared" si="45"/>
        <v>273489.42299807462</v>
      </c>
      <c r="J40" s="114">
        <f t="shared" si="45"/>
        <v>299197.42875989364</v>
      </c>
      <c r="K40" s="114">
        <f t="shared" si="45"/>
        <v>327321.9870633235</v>
      </c>
      <c r="L40" s="114">
        <f t="shared" si="45"/>
        <v>358090.25384727609</v>
      </c>
    </row>
    <row r="41" spans="2:12" x14ac:dyDescent="0.45">
      <c r="B41" s="115" t="s">
        <v>592</v>
      </c>
      <c r="C41" s="116">
        <f>C40/C36</f>
        <v>-4.1118632327427108E-2</v>
      </c>
      <c r="D41" s="116">
        <f>D40/D36</f>
        <v>6.7204429709129446E-2</v>
      </c>
      <c r="E41" s="116">
        <f>E40/E36</f>
        <v>0.11813606356757501</v>
      </c>
      <c r="F41" s="127">
        <f>F40/F36</f>
        <v>6.5971337793090501E-2</v>
      </c>
      <c r="G41" s="132">
        <f>WACC!$C$16</f>
        <v>0.17849999999999999</v>
      </c>
      <c r="H41" s="132">
        <f>WACC!$C$16</f>
        <v>0.17849999999999999</v>
      </c>
      <c r="I41" s="132">
        <f>WACC!$C$16</f>
        <v>0.17849999999999999</v>
      </c>
      <c r="J41" s="132">
        <f>WACC!$C$16</f>
        <v>0.17849999999999999</v>
      </c>
      <c r="K41" s="132">
        <f>WACC!$C$16</f>
        <v>0.17849999999999999</v>
      </c>
      <c r="L41" s="132">
        <f>WACC!$C$16</f>
        <v>0.17849999999999999</v>
      </c>
    </row>
    <row r="42" spans="2:12" x14ac:dyDescent="0.45">
      <c r="B42" s="133"/>
      <c r="C42" s="105"/>
      <c r="D42" s="105"/>
      <c r="E42" s="105"/>
      <c r="F42" s="106"/>
      <c r="G42" s="105"/>
      <c r="H42" s="105"/>
      <c r="I42" s="105"/>
      <c r="J42" s="105"/>
      <c r="K42" s="105"/>
      <c r="L42" s="105"/>
    </row>
    <row r="43" spans="2:12" x14ac:dyDescent="0.45">
      <c r="B43" s="113" t="s">
        <v>523</v>
      </c>
      <c r="C43" s="129">
        <f>C36-C40</f>
        <v>640289</v>
      </c>
      <c r="D43" s="129">
        <f t="shared" ref="D43:L43" si="46">D36-D40</f>
        <v>682270</v>
      </c>
      <c r="E43" s="129">
        <f t="shared" si="46"/>
        <v>1023262</v>
      </c>
      <c r="F43" s="244">
        <f t="shared" si="46"/>
        <v>1184424</v>
      </c>
      <c r="G43" s="114">
        <f t="shared" si="46"/>
        <v>1051659.7154858636</v>
      </c>
      <c r="H43" s="114">
        <f t="shared" si="46"/>
        <v>1150515.7287415352</v>
      </c>
      <c r="I43" s="114">
        <f t="shared" si="46"/>
        <v>1258664.2072432397</v>
      </c>
      <c r="J43" s="114">
        <f t="shared" si="46"/>
        <v>1376978.6427241045</v>
      </c>
      <c r="K43" s="114">
        <f t="shared" si="46"/>
        <v>1506414.6351401694</v>
      </c>
      <c r="L43" s="114">
        <f t="shared" si="46"/>
        <v>1648017.6108433465</v>
      </c>
    </row>
    <row r="44" spans="2:12" ht="15" customHeight="1" x14ac:dyDescent="0.45">
      <c r="B44" s="115" t="s">
        <v>580</v>
      </c>
      <c r="C44" s="116"/>
      <c r="D44" s="116">
        <f>(D43/C43)-1</f>
        <v>6.556570548611651E-2</v>
      </c>
      <c r="E44" s="116">
        <f t="shared" ref="E44:F44" si="47">(E43/D43)-1</f>
        <v>0.49979040555791698</v>
      </c>
      <c r="F44" s="127">
        <f t="shared" si="47"/>
        <v>0.15749827512406411</v>
      </c>
      <c r="G44" s="116">
        <f t="shared" ref="G44" si="48">(G43/F43)-1</f>
        <v>-0.11209185605335281</v>
      </c>
      <c r="H44" s="116">
        <f t="shared" ref="H44" si="49">(H43/G43)-1</f>
        <v>9.4000000000000306E-2</v>
      </c>
      <c r="I44" s="116">
        <f t="shared" ref="I44" si="50">(I43/H43)-1</f>
        <v>9.4000000000000083E-2</v>
      </c>
      <c r="J44" s="116">
        <f t="shared" ref="J44" si="51">(J43/I43)-1</f>
        <v>9.4000000000000083E-2</v>
      </c>
      <c r="K44" s="116">
        <f t="shared" ref="K44" si="52">(K43/J43)-1</f>
        <v>9.3999999999999417E-2</v>
      </c>
      <c r="L44" s="116">
        <f>(L43/K43)-1</f>
        <v>9.400000000000075E-2</v>
      </c>
    </row>
    <row r="45" spans="2:12" x14ac:dyDescent="0.45">
      <c r="B45" s="115" t="s">
        <v>582</v>
      </c>
      <c r="C45" s="130">
        <f>C43/C9</f>
        <v>0.17374224652068593</v>
      </c>
      <c r="D45" s="130">
        <f t="shared" ref="D45:F45" si="53">D43/D9</f>
        <v>0.1622832253419384</v>
      </c>
      <c r="E45" s="130">
        <f t="shared" si="53"/>
        <v>0.2013684035279055</v>
      </c>
      <c r="F45" s="131">
        <f t="shared" si="53"/>
        <v>0.20272141654282094</v>
      </c>
      <c r="G45" s="116">
        <f t="shared" ref="G45:K45" si="54">G43/G9</f>
        <v>0.16453198967163735</v>
      </c>
      <c r="H45" s="116">
        <f t="shared" si="54"/>
        <v>0.1645319896716374</v>
      </c>
      <c r="I45" s="116">
        <f t="shared" si="54"/>
        <v>0.1645319896716374</v>
      </c>
      <c r="J45" s="116">
        <f t="shared" si="54"/>
        <v>0.16453198967163743</v>
      </c>
      <c r="K45" s="116">
        <f t="shared" si="54"/>
        <v>0.16453198967163732</v>
      </c>
      <c r="L45" s="116">
        <f>L43/L9</f>
        <v>0.16453198967163743</v>
      </c>
    </row>
    <row r="46" spans="2:12" x14ac:dyDescent="0.45">
      <c r="F46" s="134"/>
    </row>
    <row r="47" spans="2:12" ht="15.7" x14ac:dyDescent="0.55000000000000004">
      <c r="B47" s="150" t="s">
        <v>593</v>
      </c>
      <c r="C47" s="103"/>
      <c r="D47" s="103"/>
      <c r="E47" s="103"/>
      <c r="F47" s="104"/>
      <c r="G47" s="103"/>
      <c r="H47" s="103"/>
      <c r="I47" s="103"/>
      <c r="J47" s="103"/>
      <c r="K47" s="103"/>
      <c r="L47" s="103"/>
    </row>
    <row r="48" spans="2:12" ht="3" customHeight="1" x14ac:dyDescent="0.45">
      <c r="F48" s="134"/>
    </row>
    <row r="49" spans="2:15" x14ac:dyDescent="0.45">
      <c r="B49" s="49"/>
      <c r="C49" s="135" t="s">
        <v>570</v>
      </c>
      <c r="D49" s="135"/>
      <c r="E49" s="135"/>
      <c r="F49" s="136"/>
      <c r="G49" s="137" t="s">
        <v>571</v>
      </c>
      <c r="H49" s="137"/>
      <c r="I49" s="137"/>
      <c r="J49" s="137"/>
      <c r="K49" s="137"/>
      <c r="L49" s="137"/>
    </row>
    <row r="50" spans="2:15" x14ac:dyDescent="0.45">
      <c r="F50" s="134"/>
    </row>
    <row r="51" spans="2:15" x14ac:dyDescent="0.45">
      <c r="C51" s="110">
        <f t="shared" ref="C51:K51" si="55">C7</f>
        <v>2020</v>
      </c>
      <c r="D51" s="110">
        <f t="shared" si="55"/>
        <v>2021</v>
      </c>
      <c r="E51" s="110">
        <f t="shared" si="55"/>
        <v>2022</v>
      </c>
      <c r="F51" s="111">
        <f t="shared" si="55"/>
        <v>2023</v>
      </c>
      <c r="G51" s="112" t="str">
        <f t="shared" si="55"/>
        <v>2024E</v>
      </c>
      <c r="H51" s="112" t="str">
        <f t="shared" si="55"/>
        <v>2025E</v>
      </c>
      <c r="I51" s="112" t="str">
        <f t="shared" si="55"/>
        <v>2026E</v>
      </c>
      <c r="J51" s="112" t="str">
        <f t="shared" si="55"/>
        <v>2027E</v>
      </c>
      <c r="K51" s="112" t="str">
        <f t="shared" si="55"/>
        <v>2028E</v>
      </c>
      <c r="L51" s="112" t="s">
        <v>577</v>
      </c>
    </row>
    <row r="52" spans="2:15" x14ac:dyDescent="0.45">
      <c r="F52" s="134"/>
    </row>
    <row r="53" spans="2:15" x14ac:dyDescent="0.45">
      <c r="B53" s="138" t="s">
        <v>594</v>
      </c>
      <c r="C53" s="152">
        <f>'CAPEX e D&amp;A'!C5</f>
        <v>154717</v>
      </c>
      <c r="D53" s="152">
        <f>'CAPEX e D&amp;A'!D5</f>
        <v>93764</v>
      </c>
      <c r="E53" s="152">
        <f>'CAPEX e D&amp;A'!E5</f>
        <v>136589</v>
      </c>
      <c r="F53" s="153">
        <f>'CAPEX e D&amp;A'!F5</f>
        <v>189618</v>
      </c>
      <c r="G53" s="114">
        <f>G55*G9</f>
        <v>189625.3847155468</v>
      </c>
      <c r="H53" s="114">
        <f t="shared" ref="H53:L53" si="56">H55*H9</f>
        <v>207450.17087880822</v>
      </c>
      <c r="I53" s="114">
        <f t="shared" si="56"/>
        <v>226950.48694141622</v>
      </c>
      <c r="J53" s="114">
        <f t="shared" si="56"/>
        <v>248283.83271390936</v>
      </c>
      <c r="K53" s="114">
        <f t="shared" si="56"/>
        <v>271622.51298901683</v>
      </c>
      <c r="L53" s="114">
        <f t="shared" si="56"/>
        <v>297155.02920998441</v>
      </c>
    </row>
    <row r="54" spans="2:15" x14ac:dyDescent="0.45">
      <c r="B54" s="139" t="s">
        <v>580</v>
      </c>
      <c r="C54" s="140"/>
      <c r="D54" s="140">
        <f>(D53/C53)-1</f>
        <v>-0.3939644641506751</v>
      </c>
      <c r="E54" s="140">
        <f t="shared" ref="E54" si="57">(E53/D53)-1</f>
        <v>0.45673179471865533</v>
      </c>
      <c r="F54" s="141">
        <f>(F53/E53)-1</f>
        <v>0.38823770581818451</v>
      </c>
      <c r="G54" s="142">
        <f t="shared" ref="G54:L54" si="58">(G53/F53)-1</f>
        <v>3.8945224328790218E-5</v>
      </c>
      <c r="H54" s="140">
        <f>(H53/G53)-1</f>
        <v>9.4000000000000083E-2</v>
      </c>
      <c r="I54" s="140">
        <f>(I53/H53)-1</f>
        <v>9.4000000000000083E-2</v>
      </c>
      <c r="J54" s="140">
        <f t="shared" si="58"/>
        <v>9.4000000000000083E-2</v>
      </c>
      <c r="K54" s="140">
        <f t="shared" si="58"/>
        <v>9.3999999999999861E-2</v>
      </c>
      <c r="L54" s="140">
        <f t="shared" si="58"/>
        <v>9.4000000000000083E-2</v>
      </c>
    </row>
    <row r="55" spans="2:15" x14ac:dyDescent="0.45">
      <c r="B55" s="115" t="s">
        <v>582</v>
      </c>
      <c r="C55" s="140">
        <f>C53/C9</f>
        <v>4.1982415994872575E-2</v>
      </c>
      <c r="D55" s="140">
        <f t="shared" ref="D55:E55" si="59">D53/D9</f>
        <v>2.2302496579010525E-2</v>
      </c>
      <c r="E55" s="140">
        <f t="shared" si="59"/>
        <v>2.6879439351283528E-2</v>
      </c>
      <c r="F55" s="141">
        <f>F53/F9</f>
        <v>3.2454281205055474E-2</v>
      </c>
      <c r="G55" s="231">
        <f>AVERAGE($E$55:$F$55)</f>
        <v>2.9666860278169501E-2</v>
      </c>
      <c r="H55" s="231">
        <f t="shared" ref="H55:L55" si="60">AVERAGE($E$55:$F$55)</f>
        <v>2.9666860278169501E-2</v>
      </c>
      <c r="I55" s="231">
        <f t="shared" si="60"/>
        <v>2.9666860278169501E-2</v>
      </c>
      <c r="J55" s="231">
        <f t="shared" si="60"/>
        <v>2.9666860278169501E-2</v>
      </c>
      <c r="K55" s="231">
        <f t="shared" si="60"/>
        <v>2.9666860278169501E-2</v>
      </c>
      <c r="L55" s="231">
        <f t="shared" si="60"/>
        <v>2.9666860278169501E-2</v>
      </c>
      <c r="O55" s="143"/>
    </row>
    <row r="56" spans="2:15" x14ac:dyDescent="0.45">
      <c r="B56" s="144"/>
      <c r="F56" s="134"/>
    </row>
    <row r="57" spans="2:15" x14ac:dyDescent="0.45">
      <c r="B57" s="145" t="s">
        <v>595</v>
      </c>
      <c r="C57" s="114"/>
      <c r="D57" s="114">
        <f>'[1]Balance Sheet'!D48-'[1]Balance Sheet'!C48</f>
        <v>-359574</v>
      </c>
      <c r="E57" s="114">
        <f>'[1]Balance Sheet'!E48-'[1]Balance Sheet'!D48</f>
        <v>-141419</v>
      </c>
      <c r="F57" s="124">
        <f>'[1]Balance Sheet'!F48-'[1]Balance Sheet'!E48</f>
        <v>181972</v>
      </c>
      <c r="G57" s="114">
        <f>G59*G9</f>
        <v>-175161.12771499628</v>
      </c>
      <c r="H57" s="114">
        <f t="shared" ref="H57:K57" si="61">H59*H9</f>
        <v>-191626.27372020597</v>
      </c>
      <c r="I57" s="114">
        <f t="shared" si="61"/>
        <v>-209639.14344990536</v>
      </c>
      <c r="J57" s="114">
        <f t="shared" si="61"/>
        <v>-229345.22293419647</v>
      </c>
      <c r="K57" s="114">
        <f t="shared" si="61"/>
        <v>-250903.67389001092</v>
      </c>
      <c r="L57" s="114">
        <f>L59*L9</f>
        <v>-274488.61923567194</v>
      </c>
    </row>
    <row r="58" spans="2:15" x14ac:dyDescent="0.45">
      <c r="B58" s="139" t="s">
        <v>580</v>
      </c>
      <c r="C58" s="140"/>
      <c r="D58" s="140"/>
      <c r="E58" s="140">
        <f>(E57/D57)-1</f>
        <v>-0.60670404423011681</v>
      </c>
      <c r="F58" s="141">
        <f>(F57/E57)-1</f>
        <v>-2.2867577906787631</v>
      </c>
      <c r="G58" s="146">
        <f>(G57/F57)-1</f>
        <v>-1.9625718666333078</v>
      </c>
      <c r="H58" s="140">
        <f>(H57/G57)-1</f>
        <v>9.4000000000000083E-2</v>
      </c>
      <c r="I58" s="140">
        <f t="shared" ref="I58:K58" si="62">(I57/H57)-1</f>
        <v>9.4000000000000083E-2</v>
      </c>
      <c r="J58" s="140">
        <f t="shared" si="62"/>
        <v>9.4000000000000083E-2</v>
      </c>
      <c r="K58" s="140">
        <f t="shared" si="62"/>
        <v>9.3999999999999861E-2</v>
      </c>
      <c r="L58" s="140">
        <f>(L57/K57)-1</f>
        <v>9.4000000000000083E-2</v>
      </c>
    </row>
    <row r="59" spans="2:15" x14ac:dyDescent="0.45">
      <c r="B59" s="115" t="s">
        <v>582</v>
      </c>
      <c r="C59" s="140"/>
      <c r="D59" s="140">
        <f>D57/D9</f>
        <v>-8.5527472216427744E-2</v>
      </c>
      <c r="E59" s="140">
        <f t="shared" ref="E59" si="63">E57/E9</f>
        <v>-2.7829938235283701E-2</v>
      </c>
      <c r="F59" s="141">
        <f>F57/F9</f>
        <v>3.114562150980579E-2</v>
      </c>
      <c r="G59" s="231">
        <f>AVERAGE($D$59:$F$59)</f>
        <v>-2.7403929647301883E-2</v>
      </c>
      <c r="H59" s="231">
        <f t="shared" ref="H59:L59" si="64">AVERAGE($D$59:$F$59)</f>
        <v>-2.7403929647301883E-2</v>
      </c>
      <c r="I59" s="231">
        <f t="shared" si="64"/>
        <v>-2.7403929647301883E-2</v>
      </c>
      <c r="J59" s="231">
        <f t="shared" si="64"/>
        <v>-2.7403929647301883E-2</v>
      </c>
      <c r="K59" s="231">
        <f t="shared" si="64"/>
        <v>-2.7403929647301883E-2</v>
      </c>
      <c r="L59" s="231">
        <f t="shared" si="64"/>
        <v>-2.7403929647301883E-2</v>
      </c>
    </row>
    <row r="62" spans="2:15" x14ac:dyDescent="0.45">
      <c r="E62" s="149"/>
    </row>
    <row r="63" spans="2:15" x14ac:dyDescent="0.45">
      <c r="E63" s="149"/>
    </row>
  </sheetData>
  <hyperlinks>
    <hyperlink ref="N7" r:id="rId1" display="9,40%" xr:uid="{B6D9D6FC-501B-4E45-BF61-439A039BB1F9}"/>
  </hyperlinks>
  <pageMargins left="0.7" right="0.7" top="0.75" bottom="0.75" header="0.3" footer="0.3"/>
  <pageSetup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A11E7-F32B-4252-B6FE-15ADE85EC653}">
  <dimension ref="B2:L14"/>
  <sheetViews>
    <sheetView workbookViewId="0">
      <selection activeCell="H4" sqref="H4"/>
    </sheetView>
  </sheetViews>
  <sheetFormatPr baseColWidth="10" defaultColWidth="9.17578125" defaultRowHeight="14.35" x14ac:dyDescent="0.5"/>
  <cols>
    <col min="2" max="2" width="6.3515625" hidden="1" customWidth="1"/>
    <col min="3" max="3" width="23.46875" bestFit="1" customWidth="1"/>
    <col min="4" max="6" width="8" bestFit="1" customWidth="1"/>
    <col min="7" max="11" width="10.46875" bestFit="1" customWidth="1"/>
  </cols>
  <sheetData>
    <row r="2" spans="2:12" ht="21" x14ac:dyDescent="1.3">
      <c r="B2" s="26" t="s">
        <v>457</v>
      </c>
      <c r="D2" s="27">
        <v>2020</v>
      </c>
      <c r="E2" s="27">
        <v>2021</v>
      </c>
      <c r="F2" s="27">
        <v>2022</v>
      </c>
      <c r="G2" s="27">
        <v>2023</v>
      </c>
      <c r="H2" s="28">
        <v>2024</v>
      </c>
      <c r="I2" s="27">
        <v>2025</v>
      </c>
      <c r="J2" s="27">
        <v>2026</v>
      </c>
      <c r="K2" s="27">
        <v>2027</v>
      </c>
      <c r="L2" s="27">
        <v>2028</v>
      </c>
    </row>
    <row r="3" spans="2:12" ht="21" x14ac:dyDescent="1.3">
      <c r="B3" s="29" t="s">
        <v>596</v>
      </c>
      <c r="D3" s="30" t="s">
        <v>597</v>
      </c>
      <c r="E3" s="30" t="s">
        <v>597</v>
      </c>
      <c r="F3" s="30" t="s">
        <v>597</v>
      </c>
      <c r="G3" s="30" t="s">
        <v>597</v>
      </c>
      <c r="H3" s="31" t="s">
        <v>598</v>
      </c>
      <c r="I3" s="30" t="s">
        <v>598</v>
      </c>
      <c r="J3" s="30" t="s">
        <v>598</v>
      </c>
      <c r="K3" s="30" t="s">
        <v>598</v>
      </c>
      <c r="L3" s="30" t="s">
        <v>598</v>
      </c>
    </row>
    <row r="4" spans="2:12" x14ac:dyDescent="0.5">
      <c r="C4" s="33" t="str">
        <f>'Income Statement'!B4</f>
        <v>Time-based products</v>
      </c>
      <c r="D4" s="32">
        <f>'Income Statement'!C4</f>
        <v>2365199</v>
      </c>
      <c r="E4" s="32">
        <f>'Income Statement'!D4</f>
        <v>2633763</v>
      </c>
      <c r="F4" s="32">
        <f>'Income Statement'!E4</f>
        <v>2993786</v>
      </c>
      <c r="G4" s="32">
        <f>'Income Statement'!F4</f>
        <v>3383632</v>
      </c>
    </row>
    <row r="5" spans="2:12" x14ac:dyDescent="0.5">
      <c r="C5" t="s">
        <v>599</v>
      </c>
      <c r="E5" s="34">
        <f>(E4/D4)-1</f>
        <v>0.11354816233221809</v>
      </c>
      <c r="F5" s="34">
        <f t="shared" ref="F5:G5" si="0">(F4/E4)-1</f>
        <v>0.13669529111009604</v>
      </c>
      <c r="G5" s="34">
        <f t="shared" si="0"/>
        <v>0.13021839236338195</v>
      </c>
    </row>
    <row r="7" spans="2:12" x14ac:dyDescent="0.5">
      <c r="C7" s="33" t="str">
        <f>'Income Statement'!B5</f>
        <v>Upfront products</v>
      </c>
      <c r="D7" s="32">
        <f>'Income Statement'!C5</f>
        <v>735572</v>
      </c>
      <c r="E7" s="32">
        <f>'Income Statement'!D5</f>
        <v>861063</v>
      </c>
      <c r="F7" s="32">
        <f>'Income Statement'!E5</f>
        <v>1226728</v>
      </c>
      <c r="G7" s="32">
        <f>'Income Statement'!F5</f>
        <v>1429330</v>
      </c>
    </row>
    <row r="8" spans="2:12" x14ac:dyDescent="0.5">
      <c r="C8" t="s">
        <v>599</v>
      </c>
      <c r="E8" s="34">
        <f>(E7/D7)-1</f>
        <v>0.17060328560630356</v>
      </c>
      <c r="F8" s="34">
        <f t="shared" ref="F8" si="1">(F7/E7)-1</f>
        <v>0.42466695236004792</v>
      </c>
      <c r="G8" s="34">
        <f>(G7/F7)-1</f>
        <v>0.16515641609223897</v>
      </c>
    </row>
    <row r="10" spans="2:12" x14ac:dyDescent="0.5">
      <c r="C10" s="33" t="str">
        <f>'Income Statement'!B7</f>
        <v>Maintenance and service</v>
      </c>
      <c r="D10" s="32">
        <f>'Income Statement'!C7</f>
        <v>584510</v>
      </c>
      <c r="E10" s="32">
        <f>'Income Statement'!D7</f>
        <v>709367</v>
      </c>
      <c r="F10" s="32">
        <f>'Income Statement'!E7</f>
        <v>861028</v>
      </c>
      <c r="G10" s="32">
        <f>'Income Statement'!F7</f>
        <v>1029657</v>
      </c>
    </row>
    <row r="11" spans="2:12" x14ac:dyDescent="0.5">
      <c r="C11" t="s">
        <v>599</v>
      </c>
      <c r="D11" s="32"/>
      <c r="E11" s="34">
        <f>(E10/D10)-1</f>
        <v>0.21360969016783282</v>
      </c>
      <c r="F11" s="34">
        <f t="shared" ref="F11" si="2">(F10/E10)-1</f>
        <v>0.213797653400849</v>
      </c>
      <c r="G11" s="34">
        <f>(G10/F10)-1</f>
        <v>0.19584612811662327</v>
      </c>
    </row>
    <row r="13" spans="2:12" x14ac:dyDescent="0.5">
      <c r="C13" s="33" t="str">
        <f>'Income Statement'!B8</f>
        <v>Total revenue</v>
      </c>
      <c r="D13" s="32">
        <f>'Income Statement'!C8</f>
        <v>3685281</v>
      </c>
      <c r="E13" s="32">
        <f>'Income Statement'!D8</f>
        <v>4204193</v>
      </c>
      <c r="F13" s="32">
        <f>'Income Statement'!E8</f>
        <v>5081542</v>
      </c>
      <c r="G13" s="32">
        <f>'Income Statement'!F8</f>
        <v>5842619</v>
      </c>
    </row>
    <row r="14" spans="2:12" x14ac:dyDescent="0.5">
      <c r="C14" t="s">
        <v>599</v>
      </c>
      <c r="E14" s="34">
        <f>(E13/D13)-1</f>
        <v>0.14080663048489384</v>
      </c>
      <c r="F14" s="34">
        <f t="shared" ref="F14:G14" si="3">(F13/E13)-1</f>
        <v>0.20868428257218441</v>
      </c>
      <c r="G14" s="34">
        <f t="shared" si="3"/>
        <v>0.14977284454207007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6D19E-DD99-44F4-9A3E-FE727AA82A7D}">
  <dimension ref="B3:O61"/>
  <sheetViews>
    <sheetView topLeftCell="A16" zoomScale="86" zoomScaleNormal="100" workbookViewId="0">
      <selection activeCell="G56" sqref="G56"/>
    </sheetView>
  </sheetViews>
  <sheetFormatPr baseColWidth="10" defaultColWidth="17.46875" defaultRowHeight="14.35" x14ac:dyDescent="0.5"/>
  <cols>
    <col min="1" max="1" width="5.64453125" style="35" customWidth="1"/>
    <col min="2" max="2" width="19.8203125" style="35" customWidth="1"/>
    <col min="3" max="3" width="17.46875" style="35"/>
    <col min="4" max="4" width="22.64453125" style="35" bestFit="1" customWidth="1"/>
    <col min="5" max="5" width="23.46875" style="35" bestFit="1" customWidth="1"/>
    <col min="6" max="16384" width="17.46875" style="35"/>
  </cols>
  <sheetData>
    <row r="3" spans="2:14" ht="15.7" x14ac:dyDescent="0.55000000000000004">
      <c r="B3" s="195" t="s">
        <v>600</v>
      </c>
      <c r="C3" s="155"/>
      <c r="D3" s="155"/>
      <c r="E3" s="155"/>
      <c r="F3" s="156"/>
      <c r="G3" s="155"/>
      <c r="H3" s="155"/>
      <c r="I3" s="155"/>
      <c r="J3" s="155"/>
      <c r="K3" s="155"/>
      <c r="L3" s="155"/>
    </row>
    <row r="4" spans="2:14" ht="6.75" customHeight="1" x14ac:dyDescent="0.5">
      <c r="B4" s="36"/>
      <c r="C4" s="36"/>
      <c r="D4" s="36"/>
      <c r="E4" s="36"/>
      <c r="F4" s="134"/>
      <c r="G4" s="36"/>
      <c r="H4" s="36"/>
      <c r="I4" s="36"/>
      <c r="J4" s="36"/>
      <c r="K4" s="36"/>
      <c r="L4" s="36"/>
    </row>
    <row r="5" spans="2:14" x14ac:dyDescent="0.5">
      <c r="B5" s="36"/>
      <c r="C5" s="135" t="s">
        <v>570</v>
      </c>
      <c r="D5" s="135"/>
      <c r="E5" s="135"/>
      <c r="F5" s="136"/>
      <c r="G5" s="137" t="s">
        <v>571</v>
      </c>
      <c r="H5" s="137"/>
      <c r="I5" s="137"/>
      <c r="J5" s="137"/>
      <c r="K5" s="137"/>
      <c r="L5" s="137"/>
    </row>
    <row r="6" spans="2:14" x14ac:dyDescent="0.5">
      <c r="B6" s="36"/>
      <c r="C6" s="36"/>
      <c r="D6" s="36"/>
      <c r="E6" s="36"/>
      <c r="F6" s="134"/>
      <c r="G6" s="83">
        <v>0.5</v>
      </c>
      <c r="H6" s="83">
        <f>G6+1</f>
        <v>1.5</v>
      </c>
      <c r="I6" s="83">
        <f>H6+1</f>
        <v>2.5</v>
      </c>
      <c r="J6" s="83">
        <f t="shared" ref="J6:L6" si="0">I6+1</f>
        <v>3.5</v>
      </c>
      <c r="K6" s="83">
        <f t="shared" si="0"/>
        <v>4.5</v>
      </c>
      <c r="L6" s="83">
        <f t="shared" si="0"/>
        <v>5.5</v>
      </c>
    </row>
    <row r="7" spans="2:14" x14ac:dyDescent="0.5">
      <c r="B7" s="36"/>
      <c r="C7" s="157">
        <v>2020</v>
      </c>
      <c r="D7" s="157">
        <v>2021</v>
      </c>
      <c r="E7" s="157">
        <v>2022</v>
      </c>
      <c r="F7" s="157">
        <v>2023</v>
      </c>
      <c r="G7" s="157" t="s">
        <v>572</v>
      </c>
      <c r="H7" s="157" t="s">
        <v>573</v>
      </c>
      <c r="I7" s="157" t="s">
        <v>574</v>
      </c>
      <c r="J7" s="157" t="s">
        <v>575</v>
      </c>
      <c r="K7" s="157" t="s">
        <v>576</v>
      </c>
      <c r="L7" s="157" t="s">
        <v>577</v>
      </c>
      <c r="N7" s="221"/>
    </row>
    <row r="8" spans="2:14" x14ac:dyDescent="0.5">
      <c r="B8" s="36"/>
      <c r="C8" s="36"/>
      <c r="D8" s="36"/>
      <c r="E8" s="36"/>
      <c r="F8" s="134"/>
      <c r="G8" s="36"/>
      <c r="H8" s="36"/>
      <c r="I8" s="36"/>
      <c r="J8" s="36"/>
      <c r="K8" s="36"/>
      <c r="L8" s="36"/>
    </row>
    <row r="9" spans="2:14" ht="15.7" x14ac:dyDescent="0.55000000000000004">
      <c r="B9" s="195" t="s">
        <v>569</v>
      </c>
      <c r="C9" s="155"/>
      <c r="D9" s="155"/>
      <c r="E9" s="155"/>
      <c r="F9" s="156"/>
      <c r="G9" s="155"/>
      <c r="H9" s="155"/>
      <c r="I9" s="155"/>
      <c r="J9" s="155"/>
      <c r="K9" s="155"/>
      <c r="L9" s="155"/>
    </row>
    <row r="10" spans="2:14" x14ac:dyDescent="0.5">
      <c r="B10" s="36"/>
      <c r="C10" s="36"/>
      <c r="D10" s="36"/>
      <c r="E10" s="36"/>
      <c r="F10" s="134"/>
      <c r="G10" s="36"/>
      <c r="H10" s="36"/>
      <c r="I10" s="36"/>
      <c r="J10" s="36"/>
      <c r="K10" s="36"/>
      <c r="L10" s="36"/>
    </row>
    <row r="11" spans="2:14" x14ac:dyDescent="0.5">
      <c r="B11" s="158" t="s">
        <v>579</v>
      </c>
      <c r="C11" s="152">
        <f>Forecast!C9</f>
        <v>3685281</v>
      </c>
      <c r="D11" s="152">
        <f>Forecast!D9</f>
        <v>4204193</v>
      </c>
      <c r="E11" s="152">
        <f>Forecast!E9</f>
        <v>5081542</v>
      </c>
      <c r="F11" s="152">
        <f>Forecast!F9</f>
        <v>5842619</v>
      </c>
      <c r="G11" s="159">
        <f>Forecast!G9</f>
        <v>6391825.1860000007</v>
      </c>
      <c r="H11" s="152">
        <f>Forecast!H9</f>
        <v>6992656.7534840014</v>
      </c>
      <c r="I11" s="152">
        <f>Forecast!I9</f>
        <v>7649966.4883114984</v>
      </c>
      <c r="J11" s="152">
        <f>Forecast!J9</f>
        <v>8369063.3382127797</v>
      </c>
      <c r="K11" s="152">
        <f>Forecast!K9</f>
        <v>9155755.2920047808</v>
      </c>
      <c r="L11" s="152">
        <f>Forecast!L9</f>
        <v>10016396.289453231</v>
      </c>
      <c r="M11" s="160"/>
    </row>
    <row r="12" spans="2:14" x14ac:dyDescent="0.5">
      <c r="B12" s="161" t="s">
        <v>580</v>
      </c>
      <c r="C12" s="140"/>
      <c r="D12" s="162">
        <f>(D11/C11)-1</f>
        <v>0.14080663048489384</v>
      </c>
      <c r="E12" s="162">
        <f t="shared" ref="E12:L12" si="1">(E11/D11)-1</f>
        <v>0.20868428257218441</v>
      </c>
      <c r="F12" s="162">
        <f t="shared" si="1"/>
        <v>0.14977284454207007</v>
      </c>
      <c r="G12" s="230">
        <f>(G11/F11)-1</f>
        <v>9.4000000000000083E-2</v>
      </c>
      <c r="H12" s="231">
        <f t="shared" si="1"/>
        <v>9.4000000000000083E-2</v>
      </c>
      <c r="I12" s="231">
        <f t="shared" si="1"/>
        <v>9.4000000000000083E-2</v>
      </c>
      <c r="J12" s="231">
        <f t="shared" si="1"/>
        <v>9.4000000000000083E-2</v>
      </c>
      <c r="K12" s="231">
        <f t="shared" si="1"/>
        <v>9.4000000000000083E-2</v>
      </c>
      <c r="L12" s="231">
        <f t="shared" si="1"/>
        <v>9.4000000000000083E-2</v>
      </c>
    </row>
    <row r="13" spans="2:14" x14ac:dyDescent="0.5">
      <c r="B13" s="161"/>
      <c r="C13" s="36"/>
      <c r="D13" s="36"/>
      <c r="E13" s="36"/>
      <c r="F13" s="36"/>
      <c r="G13" s="163"/>
      <c r="H13" s="140"/>
      <c r="I13" s="140"/>
      <c r="J13" s="140"/>
      <c r="K13" s="140"/>
      <c r="L13" s="140"/>
      <c r="M13" s="164"/>
    </row>
    <row r="14" spans="2:14" x14ac:dyDescent="0.5">
      <c r="B14" s="158" t="s">
        <v>584</v>
      </c>
      <c r="C14" s="152">
        <f>Forecast!C21</f>
        <v>620141</v>
      </c>
      <c r="D14" s="152">
        <f>Forecast!D21</f>
        <v>734790</v>
      </c>
      <c r="E14" s="152">
        <f>Forecast!E21</f>
        <v>1162038</v>
      </c>
      <c r="F14" s="152">
        <f>Forecast!F21</f>
        <v>1269259</v>
      </c>
      <c r="G14" s="159">
        <f>Forecast!G21</f>
        <v>1285071.7561794957</v>
      </c>
      <c r="H14" s="152">
        <f>Forecast!H21</f>
        <v>1405868.5012603691</v>
      </c>
      <c r="I14" s="152">
        <f>Forecast!I21</f>
        <v>1538020.140378844</v>
      </c>
      <c r="J14" s="152">
        <f>Forecast!J21</f>
        <v>1682594.0335744554</v>
      </c>
      <c r="K14" s="152">
        <f>Forecast!K21</f>
        <v>1840757.8727304535</v>
      </c>
      <c r="L14" s="152">
        <f>Forecast!L21</f>
        <v>2013789.1127671171</v>
      </c>
    </row>
    <row r="15" spans="2:14" x14ac:dyDescent="0.5">
      <c r="B15" s="161" t="s">
        <v>580</v>
      </c>
      <c r="C15" s="140"/>
      <c r="D15" s="162">
        <f>(D14/C14)-1</f>
        <v>0.18487569762360501</v>
      </c>
      <c r="E15" s="162">
        <f t="shared" ref="E15" si="2">(E14/D14)-1</f>
        <v>0.58145592618299102</v>
      </c>
      <c r="F15" s="162">
        <f t="shared" ref="F15" si="3">(F14/E14)-1</f>
        <v>9.2269788079219373E-2</v>
      </c>
      <c r="G15" s="232">
        <f>(G14/F14)-1</f>
        <v>1.2458258069862671E-2</v>
      </c>
      <c r="H15" s="231">
        <f t="shared" ref="H15" si="4">(H14/G14)-1</f>
        <v>9.4000000000000528E-2</v>
      </c>
      <c r="I15" s="231">
        <f t="shared" ref="I15" si="5">(I14/H14)-1</f>
        <v>9.4000000000000083E-2</v>
      </c>
      <c r="J15" s="231">
        <f t="shared" ref="J15" si="6">(J14/I14)-1</f>
        <v>9.4000000000000083E-2</v>
      </c>
      <c r="K15" s="231">
        <f t="shared" ref="K15" si="7">(K14/J14)-1</f>
        <v>9.3999999999999639E-2</v>
      </c>
      <c r="L15" s="231">
        <f>(L14/K14)-1</f>
        <v>9.4000000000000528E-2</v>
      </c>
    </row>
    <row r="16" spans="2:14" x14ac:dyDescent="0.5">
      <c r="B16" s="161" t="s">
        <v>582</v>
      </c>
      <c r="C16" s="231">
        <f>Forecast!C19</f>
        <v>0.61608599181446411</v>
      </c>
      <c r="D16" s="231">
        <f>Forecast!D19</f>
        <v>0.62024412295058762</v>
      </c>
      <c r="E16" s="231">
        <f>Forecast!E19</f>
        <v>0.56199614211591675</v>
      </c>
      <c r="F16" s="231">
        <f>Forecast!F19</f>
        <v>0.57357274195014252</v>
      </c>
      <c r="G16" s="232">
        <f>Forecast!G19</f>
        <v>0.59112013253325224</v>
      </c>
      <c r="H16" s="231">
        <f>Forecast!H19</f>
        <v>0.59112013253325224</v>
      </c>
      <c r="I16" s="231">
        <f>Forecast!I19</f>
        <v>0.59112013253325224</v>
      </c>
      <c r="J16" s="231">
        <f>Forecast!J19</f>
        <v>0.59112013253325224</v>
      </c>
      <c r="K16" s="231">
        <f>Forecast!K19</f>
        <v>0.59112013253325224</v>
      </c>
      <c r="L16" s="231">
        <f>Forecast!L19</f>
        <v>0.59112013253325224</v>
      </c>
    </row>
    <row r="17" spans="2:14" x14ac:dyDescent="0.5">
      <c r="B17" s="161"/>
      <c r="C17" s="36"/>
      <c r="D17" s="36"/>
      <c r="E17" s="36"/>
      <c r="F17" s="36"/>
      <c r="G17" s="165"/>
      <c r="H17" s="36"/>
      <c r="I17" s="36"/>
      <c r="J17" s="36"/>
      <c r="K17" s="36"/>
      <c r="L17" s="36"/>
    </row>
    <row r="18" spans="2:14" x14ac:dyDescent="0.5">
      <c r="B18" s="158" t="s">
        <v>591</v>
      </c>
      <c r="C18" s="166">
        <f>Forecast!C40</f>
        <v>-25288</v>
      </c>
      <c r="D18" s="166">
        <f>Forecast!D40</f>
        <v>49155</v>
      </c>
      <c r="E18" s="166">
        <f>Forecast!E40</f>
        <v>137078</v>
      </c>
      <c r="F18" s="166">
        <f>Forecast!F40</f>
        <v>83657</v>
      </c>
      <c r="G18" s="167">
        <f>Forecast!G40</f>
        <v>228510.35814269827</v>
      </c>
      <c r="H18" s="166">
        <f>Forecast!H40</f>
        <v>249990.33180811204</v>
      </c>
      <c r="I18" s="166">
        <f>Forecast!I40</f>
        <v>273489.42299807462</v>
      </c>
      <c r="J18" s="166">
        <f>Forecast!J40</f>
        <v>299197.42875989364</v>
      </c>
      <c r="K18" s="166">
        <f>Forecast!K40</f>
        <v>327321.9870633235</v>
      </c>
      <c r="L18" s="152">
        <f>Forecast!L40</f>
        <v>358090.25384727609</v>
      </c>
    </row>
    <row r="19" spans="2:14" x14ac:dyDescent="0.5">
      <c r="B19" s="115" t="s">
        <v>592</v>
      </c>
      <c r="C19" s="231">
        <f>Forecast!C41</f>
        <v>-4.1118632327427108E-2</v>
      </c>
      <c r="D19" s="231">
        <f>Forecast!D41</f>
        <v>6.7204429709129446E-2</v>
      </c>
      <c r="E19" s="231">
        <f>Forecast!E41</f>
        <v>0.11813606356757501</v>
      </c>
      <c r="F19" s="239">
        <f>Forecast!F41</f>
        <v>6.5971337793090501E-2</v>
      </c>
      <c r="G19" s="231">
        <f>Forecast!G41</f>
        <v>0.17849999999999999</v>
      </c>
      <c r="H19" s="231">
        <f>Forecast!H41</f>
        <v>0.17849999999999999</v>
      </c>
      <c r="I19" s="231">
        <f>Forecast!I41</f>
        <v>0.17849999999999999</v>
      </c>
      <c r="J19" s="231">
        <f>Forecast!J41</f>
        <v>0.17849999999999999</v>
      </c>
      <c r="K19" s="231">
        <f>Forecast!K41</f>
        <v>0.17849999999999999</v>
      </c>
      <c r="L19" s="231">
        <f>Forecast!L41</f>
        <v>0.17849999999999999</v>
      </c>
    </row>
    <row r="20" spans="2:14" x14ac:dyDescent="0.5">
      <c r="B20" s="49"/>
      <c r="C20" s="36"/>
      <c r="D20" s="36"/>
      <c r="E20" s="36"/>
      <c r="F20" s="134"/>
      <c r="G20" s="36"/>
      <c r="H20" s="36"/>
      <c r="I20" s="36"/>
      <c r="J20" s="36"/>
      <c r="K20" s="36"/>
      <c r="L20" s="36"/>
    </row>
    <row r="21" spans="2:14" x14ac:dyDescent="0.5">
      <c r="B21" s="168" t="s">
        <v>601</v>
      </c>
      <c r="C21" s="234">
        <f>C14*(1-C19)</f>
        <v>645640.34977016295</v>
      </c>
      <c r="D21" s="234">
        <f>D14*(1-D19)</f>
        <v>685408.85709402873</v>
      </c>
      <c r="E21" s="234">
        <f t="shared" ref="E21:J21" si="8">E14*(1-E19)</f>
        <v>1024759.4049640623</v>
      </c>
      <c r="F21" s="240">
        <f t="shared" si="8"/>
        <v>1185524.2857640798</v>
      </c>
      <c r="G21" s="234">
        <f>G14*(1-G19)</f>
        <v>1055686.4477014558</v>
      </c>
      <c r="H21" s="234">
        <f t="shared" si="8"/>
        <v>1154920.9737853932</v>
      </c>
      <c r="I21" s="234">
        <f t="shared" si="8"/>
        <v>1263483.5453212203</v>
      </c>
      <c r="J21" s="234">
        <f t="shared" si="8"/>
        <v>1382250.998581415</v>
      </c>
      <c r="K21" s="234">
        <f>K14*(1-K19)</f>
        <v>1512182.5924480676</v>
      </c>
      <c r="L21" s="241">
        <f>L14*(1-L19)</f>
        <v>1654327.7561381867</v>
      </c>
    </row>
    <row r="22" spans="2:14" x14ac:dyDescent="0.5">
      <c r="B22" s="161" t="s">
        <v>580</v>
      </c>
      <c r="C22" s="140"/>
      <c r="D22" s="224">
        <f t="shared" ref="D22:K22" si="9">(D21/C21)-1</f>
        <v>6.1595449135145808E-2</v>
      </c>
      <c r="E22" s="162">
        <f t="shared" si="9"/>
        <v>0.49510674447482272</v>
      </c>
      <c r="F22" s="169">
        <f t="shared" si="9"/>
        <v>0.15688061024007438</v>
      </c>
      <c r="G22" s="231">
        <f t="shared" si="9"/>
        <v>-0.10951934061725477</v>
      </c>
      <c r="H22" s="231">
        <f t="shared" si="9"/>
        <v>9.4000000000000528E-2</v>
      </c>
      <c r="I22" s="231">
        <f t="shared" si="9"/>
        <v>9.4000000000000083E-2</v>
      </c>
      <c r="J22" s="231">
        <f t="shared" si="9"/>
        <v>9.4000000000000083E-2</v>
      </c>
      <c r="K22" s="231">
        <f t="shared" si="9"/>
        <v>9.3999999999999639E-2</v>
      </c>
      <c r="L22" s="231">
        <f>(L21/K21)-1</f>
        <v>9.4000000000000528E-2</v>
      </c>
    </row>
    <row r="23" spans="2:14" x14ac:dyDescent="0.5">
      <c r="B23" s="36"/>
      <c r="C23" s="36"/>
      <c r="D23" s="36"/>
      <c r="E23" s="36"/>
      <c r="F23" s="134"/>
      <c r="G23" s="36"/>
      <c r="H23" s="36"/>
      <c r="I23" s="36"/>
      <c r="J23" s="36"/>
      <c r="K23" s="36"/>
      <c r="L23" s="36"/>
    </row>
    <row r="24" spans="2:14" x14ac:dyDescent="0.5">
      <c r="B24" s="170" t="s">
        <v>593</v>
      </c>
      <c r="C24" s="170"/>
      <c r="D24" s="170"/>
      <c r="E24" s="170"/>
      <c r="F24" s="171"/>
      <c r="G24" s="170"/>
      <c r="H24" s="170"/>
      <c r="I24" s="170"/>
      <c r="J24" s="170"/>
      <c r="K24" s="170"/>
      <c r="L24" s="170"/>
    </row>
    <row r="25" spans="2:14" x14ac:dyDescent="0.5">
      <c r="B25" s="36"/>
      <c r="C25" s="36"/>
      <c r="D25" s="36"/>
      <c r="E25" s="36"/>
      <c r="F25" s="134"/>
      <c r="G25" s="36"/>
      <c r="H25" s="36"/>
      <c r="I25" s="36"/>
      <c r="J25" s="36"/>
      <c r="K25" s="36"/>
      <c r="L25" s="36"/>
    </row>
    <row r="26" spans="2:14" x14ac:dyDescent="0.5">
      <c r="B26" s="158" t="s">
        <v>585</v>
      </c>
      <c r="C26" s="172"/>
      <c r="D26" s="152">
        <f>Forecast!C25</f>
        <v>209986</v>
      </c>
      <c r="E26" s="152">
        <f>Forecast!D25</f>
        <v>203676</v>
      </c>
      <c r="F26" s="153">
        <f>Forecast!E25</f>
        <v>228405</v>
      </c>
      <c r="G26" s="152">
        <f>Forecast!F25</f>
        <v>247120</v>
      </c>
      <c r="H26" s="152">
        <f>Forecast!G25</f>
        <v>282111.2030549199</v>
      </c>
      <c r="I26" s="152">
        <f>Forecast!H25</f>
        <v>308629.65614208241</v>
      </c>
      <c r="J26" s="152">
        <f>Forecast!I25</f>
        <v>337640.84381943819</v>
      </c>
      <c r="K26" s="152">
        <f>Forecast!J25</f>
        <v>369379.08313846542</v>
      </c>
      <c r="L26" s="152">
        <f>Forecast!K25</f>
        <v>404100.71695348114</v>
      </c>
    </row>
    <row r="27" spans="2:14" x14ac:dyDescent="0.5">
      <c r="B27" s="161" t="s">
        <v>586</v>
      </c>
      <c r="C27" s="173"/>
      <c r="D27" s="162">
        <f>Forecast!C27</f>
        <v>1.3572264198504367</v>
      </c>
      <c r="E27" s="162">
        <f>Forecast!D27</f>
        <v>2.1722196152041295</v>
      </c>
      <c r="F27" s="169">
        <f>Forecast!E27</f>
        <v>1.6722064002225656</v>
      </c>
      <c r="G27" s="162">
        <f>Forecast!F27</f>
        <v>1.3032518009893574</v>
      </c>
      <c r="H27" s="162">
        <f>Forecast!G27</f>
        <v>1.4877291006059616</v>
      </c>
      <c r="I27" s="162">
        <f>Forecast!H27</f>
        <v>1.4877291006059616</v>
      </c>
      <c r="J27" s="162">
        <f>Forecast!I27</f>
        <v>1.4877291006059616</v>
      </c>
      <c r="K27" s="162">
        <f>Forecast!J27</f>
        <v>1.4877291006059616</v>
      </c>
      <c r="L27" s="162">
        <f>Forecast!K27</f>
        <v>1.4877291006059616</v>
      </c>
    </row>
    <row r="28" spans="2:14" x14ac:dyDescent="0.5">
      <c r="B28" s="36"/>
      <c r="C28" s="36"/>
      <c r="D28" s="36"/>
      <c r="E28" s="36"/>
      <c r="F28" s="134"/>
      <c r="G28" s="36"/>
      <c r="H28" s="36"/>
      <c r="I28" s="36"/>
      <c r="J28" s="36"/>
      <c r="K28" s="36"/>
      <c r="L28" s="36"/>
    </row>
    <row r="29" spans="2:14" x14ac:dyDescent="0.5">
      <c r="B29" s="138" t="s">
        <v>594</v>
      </c>
      <c r="C29" s="174"/>
      <c r="D29" s="175">
        <f>Forecast!C53</f>
        <v>154717</v>
      </c>
      <c r="E29" s="175">
        <f>Forecast!D53</f>
        <v>93764</v>
      </c>
      <c r="F29" s="176">
        <f>Forecast!E53</f>
        <v>136589</v>
      </c>
      <c r="G29" s="175">
        <f>Forecast!F53</f>
        <v>189618</v>
      </c>
      <c r="H29" s="175">
        <f>Forecast!G53</f>
        <v>189625.3847155468</v>
      </c>
      <c r="I29" s="175">
        <f>Forecast!H53</f>
        <v>207450.17087880822</v>
      </c>
      <c r="J29" s="175">
        <f>Forecast!I53</f>
        <v>226950.48694141622</v>
      </c>
      <c r="K29" s="175">
        <f>Forecast!J53</f>
        <v>248283.83271390936</v>
      </c>
      <c r="L29" s="175">
        <f>Forecast!K53</f>
        <v>271622.51298901683</v>
      </c>
    </row>
    <row r="30" spans="2:14" x14ac:dyDescent="0.5">
      <c r="B30" s="161" t="s">
        <v>582</v>
      </c>
      <c r="C30" s="173"/>
      <c r="D30" s="162">
        <f>Forecast!C55</f>
        <v>4.1982415994872575E-2</v>
      </c>
      <c r="E30" s="162">
        <f>Forecast!D55</f>
        <v>2.2302496579010525E-2</v>
      </c>
      <c r="F30" s="169">
        <f>Forecast!E55</f>
        <v>2.6879439351283528E-2</v>
      </c>
      <c r="G30" s="162">
        <f>Forecast!F55</f>
        <v>3.2454281205055474E-2</v>
      </c>
      <c r="H30" s="162">
        <f>Forecast!G55</f>
        <v>2.9666860278169501E-2</v>
      </c>
      <c r="I30" s="162">
        <f>Forecast!H55</f>
        <v>2.9666860278169501E-2</v>
      </c>
      <c r="J30" s="162">
        <f>Forecast!I55</f>
        <v>2.9666860278169501E-2</v>
      </c>
      <c r="K30" s="162">
        <f>Forecast!J55</f>
        <v>2.9666860278169501E-2</v>
      </c>
      <c r="L30" s="162">
        <f>Forecast!K55</f>
        <v>2.9666860278169501E-2</v>
      </c>
    </row>
    <row r="31" spans="2:14" x14ac:dyDescent="0.5">
      <c r="B31" s="36"/>
      <c r="C31" s="36"/>
      <c r="D31" s="36"/>
      <c r="E31" s="36"/>
      <c r="F31" s="134"/>
      <c r="G31" s="36"/>
      <c r="H31" s="36"/>
      <c r="I31" s="36"/>
      <c r="J31" s="36"/>
      <c r="K31" s="36"/>
      <c r="L31" s="36"/>
    </row>
    <row r="32" spans="2:14" x14ac:dyDescent="0.5">
      <c r="B32" s="177" t="s">
        <v>595</v>
      </c>
      <c r="C32" s="178"/>
      <c r="D32" s="175">
        <f>Forecast!D57</f>
        <v>-359574</v>
      </c>
      <c r="E32" s="175">
        <f>Forecast!E57</f>
        <v>-141419</v>
      </c>
      <c r="F32" s="176">
        <f>Forecast!F57</f>
        <v>181972</v>
      </c>
      <c r="G32" s="175">
        <f>Forecast!G57</f>
        <v>-175161.12771499628</v>
      </c>
      <c r="H32" s="175">
        <f>Forecast!H57</f>
        <v>-191626.27372020597</v>
      </c>
      <c r="I32" s="175">
        <f>Forecast!I57</f>
        <v>-209639.14344990536</v>
      </c>
      <c r="J32" s="175">
        <f>Forecast!J57</f>
        <v>-229345.22293419647</v>
      </c>
      <c r="K32" s="175">
        <f>Forecast!K57</f>
        <v>-250903.67389001092</v>
      </c>
      <c r="L32" s="175">
        <f>Forecast!L57</f>
        <v>-274488.61923567194</v>
      </c>
      <c r="N32"/>
    </row>
    <row r="33" spans="2:15" x14ac:dyDescent="0.5">
      <c r="B33" s="161" t="s">
        <v>582</v>
      </c>
      <c r="C33" s="173"/>
      <c r="D33" s="162">
        <f>Forecast!D59</f>
        <v>-8.5527472216427744E-2</v>
      </c>
      <c r="E33" s="162">
        <f>Forecast!E59</f>
        <v>-2.7829938235283701E-2</v>
      </c>
      <c r="F33" s="169">
        <f>Forecast!F59</f>
        <v>3.114562150980579E-2</v>
      </c>
      <c r="G33" s="162">
        <f>Forecast!G59</f>
        <v>-2.7403929647301883E-2</v>
      </c>
      <c r="H33" s="162">
        <f>Forecast!H59</f>
        <v>-2.7403929647301883E-2</v>
      </c>
      <c r="I33" s="162">
        <f>Forecast!I59</f>
        <v>-2.7403929647301883E-2</v>
      </c>
      <c r="J33" s="162">
        <f>Forecast!J59</f>
        <v>-2.7403929647301883E-2</v>
      </c>
      <c r="K33" s="162">
        <f>Forecast!K59</f>
        <v>-2.7403929647301883E-2</v>
      </c>
      <c r="L33" s="162">
        <f>Forecast!L59</f>
        <v>-2.7403929647301883E-2</v>
      </c>
    </row>
    <row r="34" spans="2:15" x14ac:dyDescent="0.5">
      <c r="B34" s="49"/>
      <c r="C34" s="36"/>
      <c r="D34" s="36"/>
      <c r="E34" s="36"/>
      <c r="F34" s="134"/>
      <c r="G34" s="36"/>
      <c r="H34" s="36"/>
      <c r="I34" s="36"/>
      <c r="J34" s="36"/>
      <c r="K34" s="36"/>
      <c r="L34" s="36"/>
    </row>
    <row r="35" spans="2:15" ht="15.7" x14ac:dyDescent="0.55000000000000004">
      <c r="B35" s="195" t="s">
        <v>602</v>
      </c>
      <c r="C35" s="155"/>
      <c r="D35" s="155"/>
      <c r="E35" s="155"/>
      <c r="F35" s="156"/>
      <c r="G35" s="155"/>
      <c r="H35" s="155"/>
      <c r="I35" s="155"/>
      <c r="J35" s="155"/>
      <c r="K35" s="155"/>
      <c r="L35" s="155"/>
    </row>
    <row r="36" spans="2:15" x14ac:dyDescent="0.5">
      <c r="B36" s="49"/>
      <c r="C36" s="36"/>
      <c r="D36" s="36"/>
      <c r="E36" s="36"/>
      <c r="F36" s="134"/>
      <c r="G36" s="36"/>
      <c r="H36" s="36"/>
      <c r="I36" s="36"/>
      <c r="J36" s="36"/>
      <c r="K36" s="36"/>
      <c r="L36" s="36"/>
    </row>
    <row r="37" spans="2:15" x14ac:dyDescent="0.5">
      <c r="B37" s="168" t="s">
        <v>603</v>
      </c>
      <c r="C37" s="177"/>
      <c r="D37" s="174">
        <f>D21-(D29-D26)-D32</f>
        <v>1100251.8570940287</v>
      </c>
      <c r="E37" s="174">
        <f t="shared" ref="E37:K37" si="10">E21-(E29-E26)-E32</f>
        <v>1276090.4049640624</v>
      </c>
      <c r="F37" s="245">
        <f t="shared" si="10"/>
        <v>1095368.2857640798</v>
      </c>
      <c r="G37" s="174">
        <f>G21-(G29-G26)-G32</f>
        <v>1288349.575416452</v>
      </c>
      <c r="H37" s="174">
        <f>H21-(H29-H26)-H32</f>
        <v>1439033.0658449724</v>
      </c>
      <c r="I37" s="174">
        <f>I21-(I29-I26)-I32</f>
        <v>1574302.1740343999</v>
      </c>
      <c r="J37" s="174">
        <f t="shared" si="10"/>
        <v>1722286.5783936335</v>
      </c>
      <c r="K37" s="174">
        <f t="shared" si="10"/>
        <v>1884181.5167626345</v>
      </c>
      <c r="L37" s="174">
        <f>L21-(L29-L26)-L32</f>
        <v>2061294.5793383229</v>
      </c>
    </row>
    <row r="38" spans="2:15" x14ac:dyDescent="0.5">
      <c r="B38" s="49"/>
      <c r="C38" s="36"/>
      <c r="D38" s="36"/>
      <c r="E38" s="36"/>
      <c r="F38" s="148"/>
      <c r="G38" s="36"/>
      <c r="H38" s="36"/>
      <c r="I38" s="36"/>
      <c r="J38" s="36"/>
      <c r="K38" s="36"/>
      <c r="L38" s="36"/>
    </row>
    <row r="39" spans="2:15" x14ac:dyDescent="0.5">
      <c r="B39" s="168" t="s">
        <v>604</v>
      </c>
      <c r="C39" s="179"/>
      <c r="D39" s="179"/>
      <c r="E39" s="179"/>
      <c r="F39" s="180"/>
      <c r="G39" s="181">
        <f>WACC!$C$27</f>
        <v>9.6031977806949248E-2</v>
      </c>
      <c r="H39" s="181">
        <f>WACC!$C$27</f>
        <v>9.6031977806949248E-2</v>
      </c>
      <c r="I39" s="181">
        <f>WACC!$C$27</f>
        <v>9.6031977806949248E-2</v>
      </c>
      <c r="J39" s="181">
        <f>WACC!$C$27</f>
        <v>9.6031977806949248E-2</v>
      </c>
      <c r="K39" s="181">
        <f>WACC!$C$27</f>
        <v>9.6031977806949248E-2</v>
      </c>
      <c r="L39" s="181">
        <f>WACC!$C$27</f>
        <v>9.6031977806949248E-2</v>
      </c>
    </row>
    <row r="40" spans="2:15" x14ac:dyDescent="0.5">
      <c r="B40" s="49"/>
      <c r="C40" s="36"/>
      <c r="D40" s="36"/>
      <c r="E40" s="36"/>
      <c r="F40" s="182"/>
      <c r="G40" s="36"/>
      <c r="H40" s="36"/>
      <c r="I40" s="36"/>
      <c r="J40" s="36"/>
      <c r="K40" s="36"/>
      <c r="L40" s="36"/>
    </row>
    <row r="41" spans="2:15" x14ac:dyDescent="0.5">
      <c r="B41" s="168" t="s">
        <v>605</v>
      </c>
      <c r="C41" s="179"/>
      <c r="D41" s="179"/>
      <c r="E41" s="179"/>
      <c r="F41" s="180"/>
      <c r="G41" s="174">
        <f>G37*(1+G39)^-G6</f>
        <v>1230614.7212047488</v>
      </c>
      <c r="H41" s="174">
        <f>H37*(1+H39)^-H6</f>
        <v>1254110.8790459884</v>
      </c>
      <c r="I41" s="174">
        <f t="shared" ref="I41:L41" si="11">I37*(1+I39)^-I6</f>
        <v>1251785.8324002018</v>
      </c>
      <c r="J41" s="174">
        <f t="shared" si="11"/>
        <v>1249465.0962519918</v>
      </c>
      <c r="K41" s="174">
        <f t="shared" si="11"/>
        <v>1247148.6626099532</v>
      </c>
      <c r="L41" s="174">
        <f t="shared" si="11"/>
        <v>1244836.5234974979</v>
      </c>
    </row>
    <row r="42" spans="2:15" x14ac:dyDescent="0.5">
      <c r="B42" s="49"/>
      <c r="C42" s="36"/>
      <c r="D42" s="36"/>
      <c r="E42" s="36"/>
      <c r="F42" s="134"/>
      <c r="G42" s="36"/>
      <c r="H42" s="36"/>
      <c r="I42" s="36"/>
      <c r="J42" s="36"/>
      <c r="K42" s="36"/>
      <c r="L42" s="36"/>
    </row>
    <row r="43" spans="2:15" x14ac:dyDescent="0.5">
      <c r="B43" s="168" t="s">
        <v>606</v>
      </c>
      <c r="C43" s="179"/>
      <c r="D43" s="179"/>
      <c r="E43" s="179"/>
      <c r="F43" s="180"/>
      <c r="G43" s="183"/>
      <c r="H43" s="179"/>
      <c r="I43" s="179"/>
      <c r="J43" s="179"/>
      <c r="K43" s="178"/>
      <c r="L43" s="177">
        <f>(L37*(1+C52))/(C53-C52)</f>
        <v>27653107.699809451</v>
      </c>
      <c r="M43" s="219"/>
    </row>
    <row r="44" spans="2:15" x14ac:dyDescent="0.5">
      <c r="B44" s="36"/>
      <c r="C44" s="36"/>
      <c r="D44" s="49"/>
      <c r="E44" s="36"/>
      <c r="F44" s="36"/>
      <c r="G44" s="36"/>
      <c r="H44" s="36"/>
      <c r="I44" s="36"/>
      <c r="J44" s="36"/>
      <c r="K44" s="36"/>
      <c r="L44" s="36"/>
      <c r="M44" s="36"/>
    </row>
    <row r="45" spans="2:15" ht="15.7" x14ac:dyDescent="0.55000000000000004">
      <c r="B45" s="195" t="s">
        <v>607</v>
      </c>
      <c r="C45" s="155"/>
      <c r="D45" s="155"/>
      <c r="E45" s="184"/>
      <c r="F45" s="36"/>
      <c r="G45" s="247" t="s">
        <v>608</v>
      </c>
      <c r="H45" s="247"/>
      <c r="I45" s="247"/>
      <c r="J45" s="247"/>
      <c r="K45" s="247"/>
      <c r="L45" s="247"/>
      <c r="M45" s="247"/>
    </row>
    <row r="46" spans="2:15" x14ac:dyDescent="0.5">
      <c r="B46" s="36"/>
      <c r="C46" s="36"/>
      <c r="D46" s="36"/>
      <c r="E46" s="36"/>
      <c r="F46" s="36"/>
      <c r="G46" s="252"/>
      <c r="H46" s="252"/>
      <c r="I46" s="258"/>
      <c r="J46" s="259"/>
      <c r="K46" s="259" t="s">
        <v>609</v>
      </c>
      <c r="L46" s="259"/>
      <c r="M46" s="260"/>
    </row>
    <row r="47" spans="2:15" x14ac:dyDescent="0.5">
      <c r="B47" s="185" t="s">
        <v>610</v>
      </c>
      <c r="C47" s="186"/>
      <c r="D47" s="187" t="s">
        <v>611</v>
      </c>
      <c r="E47" s="36"/>
      <c r="F47" s="36"/>
      <c r="G47" s="253"/>
      <c r="H47" s="257">
        <f>F59</f>
        <v>161.86743119071565</v>
      </c>
      <c r="I47" s="248">
        <f>J47-1%</f>
        <v>0</v>
      </c>
      <c r="J47" s="248">
        <f>K47-1%</f>
        <v>0.01</v>
      </c>
      <c r="K47" s="248">
        <v>0.02</v>
      </c>
      <c r="L47" s="248">
        <f>K47+1%</f>
        <v>0.03</v>
      </c>
      <c r="M47" s="248">
        <f>L47+1%</f>
        <v>0.04</v>
      </c>
      <c r="O47"/>
    </row>
    <row r="48" spans="2:15" x14ac:dyDescent="0.5">
      <c r="B48" s="36" t="s">
        <v>612</v>
      </c>
      <c r="C48" s="188">
        <f>SUM(G41:L41)</f>
        <v>7477961.7150103822</v>
      </c>
      <c r="D48" s="140">
        <f>C48/$C$50</f>
        <v>0.30928847342131477</v>
      </c>
      <c r="E48" s="36"/>
      <c r="F48" s="36"/>
      <c r="G48" s="254"/>
      <c r="H48" s="249">
        <f>H49-1%</f>
        <v>7.6660658142412588E-2</v>
      </c>
      <c r="I48" s="261">
        <f t="dataTable" ref="I48:M52" dt2D="1" dtr="1" r1="C52" r2="C53"/>
        <v>169.8391018044365</v>
      </c>
      <c r="J48" s="261">
        <v>188.87340700929093</v>
      </c>
      <c r="K48" s="261">
        <v>214.62641468915481</v>
      </c>
      <c r="L48" s="261">
        <v>251.41784690270745</v>
      </c>
      <c r="M48" s="261">
        <v>308.28062211868644</v>
      </c>
    </row>
    <row r="49" spans="2:13" x14ac:dyDescent="0.5">
      <c r="B49" s="36" t="s">
        <v>613</v>
      </c>
      <c r="C49" s="188">
        <f>L43*(1+C53)^-L6</f>
        <v>16699989.801546311</v>
      </c>
      <c r="D49" s="140">
        <f>C49/$C$50</f>
        <v>0.69071152657868518</v>
      </c>
      <c r="E49" s="233"/>
      <c r="F49" s="36"/>
      <c r="G49" s="255"/>
      <c r="H49" s="249">
        <f>H50-1%</f>
        <v>8.6660658142412583E-2</v>
      </c>
      <c r="I49" s="261">
        <v>151.07171200506457</v>
      </c>
      <c r="J49" s="262">
        <v>165.11654866365325</v>
      </c>
      <c r="K49" s="263">
        <v>183.37521610338524</v>
      </c>
      <c r="L49" s="264">
        <v>208.07880248275967</v>
      </c>
      <c r="M49" s="261">
        <v>243.37100349503402</v>
      </c>
    </row>
    <row r="50" spans="2:13" x14ac:dyDescent="0.5">
      <c r="B50" s="158" t="s">
        <v>614</v>
      </c>
      <c r="C50" s="174">
        <f>SUM(C48:C49)</f>
        <v>24177951.516556695</v>
      </c>
      <c r="D50" s="246">
        <f>SUM(D48:D49)</f>
        <v>1</v>
      </c>
      <c r="E50" s="220"/>
      <c r="F50" s="36"/>
      <c r="G50" s="255" t="s">
        <v>615</v>
      </c>
      <c r="H50" s="250">
        <v>9.6660658142412578E-2</v>
      </c>
      <c r="I50" s="265">
        <v>136.4565330108488</v>
      </c>
      <c r="J50" s="266">
        <v>147.14553232726522</v>
      </c>
      <c r="K50" s="267">
        <v>160.62318480044405</v>
      </c>
      <c r="L50" s="268">
        <v>178.14449746203135</v>
      </c>
      <c r="M50" s="265">
        <v>201.85045860318579</v>
      </c>
    </row>
    <row r="51" spans="2:13" x14ac:dyDescent="0.5">
      <c r="B51" s="36"/>
      <c r="C51" s="36"/>
      <c r="D51" s="36"/>
      <c r="E51" s="36"/>
      <c r="F51" s="36"/>
      <c r="G51" s="255"/>
      <c r="H51" s="250">
        <f>H50+1%</f>
        <v>0.10666065814241257</v>
      </c>
      <c r="I51" s="265">
        <v>124.809498145204</v>
      </c>
      <c r="J51" s="269">
        <v>133.14659487695295</v>
      </c>
      <c r="K51" s="270">
        <v>143.40777040303749</v>
      </c>
      <c r="L51" s="271">
        <v>156.34598413221761</v>
      </c>
      <c r="M51" s="265">
        <v>173.16601183975337</v>
      </c>
    </row>
    <row r="52" spans="2:13" x14ac:dyDescent="0.5">
      <c r="B52" s="47" t="s">
        <v>616</v>
      </c>
      <c r="C52" s="189">
        <v>0.02</v>
      </c>
      <c r="D52" s="47" t="s">
        <v>617</v>
      </c>
      <c r="E52" s="190">
        <v>5.0000000000000001E-3</v>
      </c>
      <c r="F52" s="36"/>
      <c r="G52" s="256"/>
      <c r="H52" s="250">
        <f>H51+1%</f>
        <v>0.11666065814241257</v>
      </c>
      <c r="I52" s="265">
        <v>115.35363163957177</v>
      </c>
      <c r="J52" s="265">
        <v>121.9873925680225</v>
      </c>
      <c r="K52" s="265">
        <v>129.99374107366046</v>
      </c>
      <c r="L52" s="265">
        <v>139.84783656789867</v>
      </c>
      <c r="M52" s="265">
        <v>152.27276715095965</v>
      </c>
    </row>
    <row r="53" spans="2:13" x14ac:dyDescent="0.5">
      <c r="B53" s="47" t="s">
        <v>618</v>
      </c>
      <c r="C53" s="191">
        <f>WACC!$C$27</f>
        <v>9.6031977806949248E-2</v>
      </c>
      <c r="D53" s="47" t="s">
        <v>619</v>
      </c>
      <c r="E53" s="190">
        <v>5.0000000000000001E-3</v>
      </c>
      <c r="F53" s="36"/>
    </row>
    <row r="54" spans="2:13" x14ac:dyDescent="0.5">
      <c r="B54" s="36"/>
      <c r="C54" s="36"/>
      <c r="D54" s="36"/>
      <c r="E54" s="36"/>
      <c r="F54" s="36"/>
    </row>
    <row r="55" spans="2:13" ht="15.7" x14ac:dyDescent="0.55000000000000004">
      <c r="B55" s="195" t="s">
        <v>620</v>
      </c>
      <c r="C55" s="155"/>
      <c r="D55" s="49"/>
      <c r="E55" s="195" t="s">
        <v>621</v>
      </c>
      <c r="F55" s="155"/>
    </row>
    <row r="56" spans="2:13" x14ac:dyDescent="0.5">
      <c r="B56" s="36"/>
      <c r="C56" s="36"/>
      <c r="D56" s="36"/>
      <c r="E56" s="36"/>
      <c r="F56" s="36"/>
      <c r="G56" s="36"/>
    </row>
    <row r="57" spans="2:13" x14ac:dyDescent="0.5">
      <c r="B57" s="36" t="s">
        <v>614</v>
      </c>
      <c r="C57" s="188">
        <f>C50</f>
        <v>24177951.516556695</v>
      </c>
      <c r="D57" s="36"/>
      <c r="E57" s="36" t="s">
        <v>449</v>
      </c>
      <c r="F57" s="235">
        <f>C60</f>
        <v>24601725.516556695</v>
      </c>
      <c r="G57" s="36"/>
    </row>
    <row r="58" spans="2:13" x14ac:dyDescent="0.5">
      <c r="B58" s="36" t="s">
        <v>622</v>
      </c>
      <c r="C58" s="192">
        <f>'[1]Balance Sheet'!F4</f>
        <v>1438913</v>
      </c>
      <c r="D58" s="36"/>
      <c r="E58" s="36" t="s">
        <v>623</v>
      </c>
      <c r="F58" s="193">
        <f>WACC!F21</f>
        <v>151986.878</v>
      </c>
      <c r="G58" s="36"/>
    </row>
    <row r="59" spans="2:13" x14ac:dyDescent="0.5">
      <c r="B59" s="36" t="s">
        <v>624</v>
      </c>
      <c r="C59" s="192">
        <f>WACC!C21</f>
        <v>1015139</v>
      </c>
      <c r="D59" s="36"/>
      <c r="E59" s="158" t="s">
        <v>625</v>
      </c>
      <c r="F59" s="236">
        <f>F57/F58</f>
        <v>161.86743119071565</v>
      </c>
      <c r="G59" s="36"/>
    </row>
    <row r="60" spans="2:13" x14ac:dyDescent="0.5">
      <c r="B60" s="158" t="s">
        <v>449</v>
      </c>
      <c r="C60" s="234">
        <f>C57+C58-C59</f>
        <v>24601725.516556695</v>
      </c>
      <c r="D60" s="220"/>
      <c r="E60" s="36"/>
      <c r="F60" s="36"/>
    </row>
    <row r="61" spans="2:13" x14ac:dyDescent="0.5">
      <c r="F61" s="218"/>
    </row>
  </sheetData>
  <conditionalFormatting sqref="I48:M52">
    <cfRule type="colorScale" priority="1">
      <colorScale>
        <cfvo type="min"/>
        <cfvo type="percentile" val="50"/>
        <cfvo type="max"/>
        <color theme="4" tint="0.79998168889431442"/>
        <color theme="4" tint="0.59999389629810485"/>
        <color theme="4" tint="0.39997558519241921"/>
      </colorScale>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9888B-CF28-45D5-BB10-851A22E84B83}">
  <dimension ref="A1:F6"/>
  <sheetViews>
    <sheetView zoomScaleNormal="100" workbookViewId="0">
      <selection activeCell="E29" sqref="E29"/>
    </sheetView>
  </sheetViews>
  <sheetFormatPr baseColWidth="10" defaultColWidth="9.17578125" defaultRowHeight="13" x14ac:dyDescent="0.45"/>
  <cols>
    <col min="1" max="1" width="9.17578125" style="36"/>
    <col min="2" max="2" width="43.3515625" style="36" bestFit="1" customWidth="1"/>
    <col min="3" max="4" width="14.46875" style="36" bestFit="1" customWidth="1"/>
    <col min="5" max="5" width="14.3515625" style="36" bestFit="1" customWidth="1"/>
    <col min="6" max="6" width="13.46875" style="36" bestFit="1" customWidth="1"/>
    <col min="7" max="16384" width="9.17578125" style="36"/>
  </cols>
  <sheetData>
    <row r="1" spans="1:6" ht="14.35" x14ac:dyDescent="0.5">
      <c r="A1" s="35"/>
    </row>
    <row r="2" spans="1:6" x14ac:dyDescent="0.45">
      <c r="B2" s="95" t="s">
        <v>457</v>
      </c>
      <c r="C2" s="67">
        <v>2020</v>
      </c>
      <c r="D2" s="67">
        <v>2021</v>
      </c>
      <c r="E2" s="67">
        <v>2022</v>
      </c>
      <c r="F2" s="67">
        <v>2023</v>
      </c>
    </row>
    <row r="3" spans="1:6" x14ac:dyDescent="0.45">
      <c r="B3" s="36" t="str">
        <f>'Cash Flow Statement'!B25</f>
        <v>Purchases of property and equipment (PP&amp;E)</v>
      </c>
      <c r="C3" s="154">
        <f>'Cash Flow Statement'!C25</f>
        <v>-154717</v>
      </c>
      <c r="D3" s="154">
        <f>'Cash Flow Statement'!D25</f>
        <v>-93764</v>
      </c>
      <c r="E3" s="154">
        <f>'Cash Flow Statement'!E25</f>
        <v>-136589</v>
      </c>
      <c r="F3" s="154">
        <f>'Cash Flow Statement'!F25</f>
        <v>-189618</v>
      </c>
    </row>
    <row r="4" spans="1:6" x14ac:dyDescent="0.45">
      <c r="C4" s="70"/>
      <c r="D4" s="70"/>
      <c r="E4" s="70"/>
      <c r="F4" s="70"/>
    </row>
    <row r="5" spans="1:6" x14ac:dyDescent="0.45">
      <c r="B5" s="47" t="s">
        <v>594</v>
      </c>
      <c r="C5" s="70">
        <f>-C3</f>
        <v>154717</v>
      </c>
      <c r="D5" s="70">
        <f>-D3</f>
        <v>93764</v>
      </c>
      <c r="E5" s="70">
        <f>-E3</f>
        <v>136589</v>
      </c>
      <c r="F5" s="70">
        <f>-F3</f>
        <v>189618</v>
      </c>
    </row>
    <row r="6" spans="1:6" x14ac:dyDescent="0.45">
      <c r="B6" s="47" t="s">
        <v>585</v>
      </c>
      <c r="C6" s="154">
        <f>'Cash Flow Statement'!C5</f>
        <v>209986</v>
      </c>
      <c r="D6" s="154">
        <f>'Cash Flow Statement'!D5</f>
        <v>203676</v>
      </c>
      <c r="E6" s="154">
        <f>'Cash Flow Statement'!E5</f>
        <v>228405</v>
      </c>
      <c r="F6" s="154">
        <f>'Cash Flow Statement'!F5</f>
        <v>247120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675B-4483-49A3-B0C9-1CF604F380CF}">
  <dimension ref="A2:V19"/>
  <sheetViews>
    <sheetView tabSelected="1" zoomScale="94" zoomScaleNormal="170" workbookViewId="0">
      <selection activeCell="C25" sqref="C25"/>
    </sheetView>
  </sheetViews>
  <sheetFormatPr baseColWidth="10" defaultColWidth="9.17578125" defaultRowHeight="14.35" x14ac:dyDescent="0.5"/>
  <cols>
    <col min="1" max="1" width="23.64453125" style="35" bestFit="1" customWidth="1"/>
    <col min="2" max="15" width="7.17578125" style="35" bestFit="1" customWidth="1"/>
    <col min="16" max="16" width="9.46875" style="35" bestFit="1" customWidth="1"/>
    <col min="17" max="22" width="8.46875" style="35" bestFit="1" customWidth="1"/>
    <col min="23" max="16384" width="9.17578125" style="35"/>
  </cols>
  <sheetData>
    <row r="2" spans="1:22" x14ac:dyDescent="0.5">
      <c r="A2"/>
      <c r="B2" s="107" t="s">
        <v>570</v>
      </c>
      <c r="C2" s="107"/>
      <c r="D2" s="107"/>
      <c r="E2" s="107"/>
      <c r="F2" s="107"/>
      <c r="G2" s="107"/>
      <c r="H2" s="107"/>
      <c r="I2" s="107"/>
      <c r="J2" s="107"/>
      <c r="K2" s="107"/>
      <c r="L2" s="107"/>
      <c r="M2" s="107"/>
      <c r="N2" s="107"/>
      <c r="O2" s="108"/>
      <c r="P2" s="291" t="s">
        <v>571</v>
      </c>
      <c r="Q2" s="109"/>
      <c r="R2" s="109"/>
      <c r="S2" s="109"/>
      <c r="T2" s="109"/>
      <c r="U2" s="109"/>
    </row>
    <row r="3" spans="1:22" x14ac:dyDescent="0.5">
      <c r="O3" s="286"/>
    </row>
    <row r="4" spans="1:22" x14ac:dyDescent="0.5">
      <c r="A4" s="272"/>
      <c r="B4" s="292">
        <v>2010</v>
      </c>
      <c r="C4" s="292">
        <v>2011</v>
      </c>
      <c r="D4" s="292">
        <v>2012</v>
      </c>
      <c r="E4" s="292">
        <v>2013</v>
      </c>
      <c r="F4" s="292">
        <v>2014</v>
      </c>
      <c r="G4" s="292">
        <v>2015</v>
      </c>
      <c r="H4" s="292">
        <v>2016</v>
      </c>
      <c r="I4" s="292">
        <v>2017</v>
      </c>
      <c r="J4" s="292">
        <v>2018</v>
      </c>
      <c r="K4" s="292">
        <v>2019</v>
      </c>
      <c r="L4" s="292">
        <v>2020</v>
      </c>
      <c r="M4" s="292">
        <v>2021</v>
      </c>
      <c r="N4" s="292">
        <v>2022</v>
      </c>
      <c r="O4" s="293">
        <v>2023</v>
      </c>
      <c r="P4" s="292" t="s">
        <v>572</v>
      </c>
      <c r="Q4" s="292" t="s">
        <v>573</v>
      </c>
      <c r="R4" s="292" t="s">
        <v>574</v>
      </c>
      <c r="S4" s="292" t="s">
        <v>575</v>
      </c>
      <c r="T4" s="292" t="s">
        <v>576</v>
      </c>
      <c r="U4" s="292" t="s">
        <v>577</v>
      </c>
      <c r="V4"/>
    </row>
    <row r="5" spans="1:22" s="282" customFormat="1" x14ac:dyDescent="0.5">
      <c r="A5" s="294" t="s">
        <v>626</v>
      </c>
      <c r="B5" s="297">
        <f>B8+B17</f>
        <v>1380.653</v>
      </c>
      <c r="C5" s="297">
        <f>C8+C17</f>
        <v>1535.6409999999998</v>
      </c>
      <c r="D5" s="297">
        <f t="shared" ref="D5:N5" si="0">D8+D17</f>
        <v>1756.0169999999998</v>
      </c>
      <c r="E5" s="297">
        <f t="shared" si="0"/>
        <v>1962.21</v>
      </c>
      <c r="F5" s="297">
        <f t="shared" si="0"/>
        <v>2057.4670000000001</v>
      </c>
      <c r="G5" s="297">
        <f t="shared" si="0"/>
        <v>2242.2090000000003</v>
      </c>
      <c r="H5" s="297">
        <f t="shared" si="0"/>
        <v>2422.5300000000002</v>
      </c>
      <c r="I5" s="297">
        <f t="shared" si="0"/>
        <v>2724.8780000000002</v>
      </c>
      <c r="J5" s="297">
        <f t="shared" si="0"/>
        <v>3121.0509999999999</v>
      </c>
      <c r="K5" s="297">
        <f t="shared" si="0"/>
        <v>3360.6990000000001</v>
      </c>
      <c r="L5" s="297">
        <f t="shared" si="0"/>
        <v>3685.2820000000002</v>
      </c>
      <c r="M5" s="297">
        <f t="shared" si="0"/>
        <v>4204.1900000000005</v>
      </c>
      <c r="N5" s="297">
        <f t="shared" si="0"/>
        <v>5081.5480000000007</v>
      </c>
      <c r="O5" s="300">
        <f>O8+O17</f>
        <v>5842.62</v>
      </c>
      <c r="P5" s="297">
        <f>P8+P17</f>
        <v>6068.67</v>
      </c>
      <c r="Q5" s="297">
        <f>Q8+Q17</f>
        <v>6851.82</v>
      </c>
      <c r="R5" s="297">
        <f>R8+R17</f>
        <v>7427.5362509332535</v>
      </c>
      <c r="S5" s="297">
        <f t="shared" ref="S5:U5" si="1">S8+S17</f>
        <v>8052.2421426416886</v>
      </c>
      <c r="T5" s="297">
        <f t="shared" si="1"/>
        <v>8730.1471764556063</v>
      </c>
      <c r="U5" s="297">
        <f t="shared" si="1"/>
        <v>9465.8252312322238</v>
      </c>
    </row>
    <row r="6" spans="1:22" x14ac:dyDescent="0.5">
      <c r="A6" s="275" t="s">
        <v>627</v>
      </c>
      <c r="B6" s="273"/>
      <c r="C6" s="279">
        <f>(C5/B5)-1</f>
        <v>0.11225702620426703</v>
      </c>
      <c r="D6" s="279">
        <f>(D5/C5)-1</f>
        <v>0.14350749947416097</v>
      </c>
      <c r="E6" s="279">
        <f t="shared" ref="E6:N6" si="2">(E5/D5)-1</f>
        <v>0.1174208450145986</v>
      </c>
      <c r="F6" s="279">
        <f t="shared" si="2"/>
        <v>4.8545772368910667E-2</v>
      </c>
      <c r="G6" s="279">
        <f t="shared" si="2"/>
        <v>8.9790990572388374E-2</v>
      </c>
      <c r="H6" s="279">
        <f t="shared" si="2"/>
        <v>8.0421138261419722E-2</v>
      </c>
      <c r="I6" s="279">
        <f t="shared" si="2"/>
        <v>0.12480671034001634</v>
      </c>
      <c r="J6" s="279">
        <f t="shared" si="2"/>
        <v>0.14539109640871994</v>
      </c>
      <c r="K6" s="279">
        <f t="shared" si="2"/>
        <v>7.6784390899091504E-2</v>
      </c>
      <c r="L6" s="279">
        <f t="shared" si="2"/>
        <v>9.6581990829883946E-2</v>
      </c>
      <c r="M6" s="279">
        <f t="shared" si="2"/>
        <v>0.1408055068784424</v>
      </c>
      <c r="N6" s="279">
        <f t="shared" si="2"/>
        <v>0.20868657220534748</v>
      </c>
      <c r="O6" s="287">
        <f>(O5/N5)-1</f>
        <v>0.14977168374676353</v>
      </c>
      <c r="P6" s="279">
        <f>(P5/O5)-1</f>
        <v>3.8689834355135178E-2</v>
      </c>
      <c r="Q6" s="279">
        <f>(Q5/P5)-1</f>
        <v>0.12904804512356072</v>
      </c>
      <c r="R6" s="279">
        <f t="shared" ref="R6:U6" si="3">(R5/Q5)-1</f>
        <v>8.4023843436233481E-2</v>
      </c>
      <c r="S6" s="279">
        <f t="shared" si="3"/>
        <v>8.4106744228941599E-2</v>
      </c>
      <c r="T6" s="279">
        <f t="shared" si="3"/>
        <v>8.4188356709242962E-2</v>
      </c>
      <c r="U6" s="279">
        <f t="shared" si="3"/>
        <v>8.4268688706723438E-2</v>
      </c>
    </row>
    <row r="7" spans="1:22" x14ac:dyDescent="0.5">
      <c r="A7" s="275"/>
      <c r="B7" s="273"/>
      <c r="C7" s="273"/>
      <c r="D7" s="273"/>
      <c r="E7" s="273"/>
      <c r="F7" s="273"/>
      <c r="G7" s="273"/>
      <c r="H7" s="273"/>
      <c r="I7" s="273"/>
      <c r="J7" s="273"/>
      <c r="K7" s="273"/>
      <c r="L7" s="273"/>
      <c r="M7" s="273"/>
      <c r="N7" s="273"/>
      <c r="O7" s="288"/>
      <c r="P7" s="273"/>
      <c r="Q7" s="273"/>
      <c r="R7" s="279"/>
      <c r="S7" s="274"/>
      <c r="T7" s="274"/>
      <c r="U7" s="274"/>
    </row>
    <row r="8" spans="1:22" s="282" customFormat="1" x14ac:dyDescent="0.5">
      <c r="A8" s="294" t="s">
        <v>628</v>
      </c>
      <c r="B8" s="298">
        <f>B11+B14</f>
        <v>1227.028</v>
      </c>
      <c r="C8" s="298">
        <f t="shared" ref="C8:N8" si="4">C11+C14</f>
        <v>1350.8709999999999</v>
      </c>
      <c r="D8" s="298">
        <f t="shared" si="4"/>
        <v>1554.4369999999999</v>
      </c>
      <c r="E8" s="298">
        <f t="shared" si="4"/>
        <v>1731.4780000000001</v>
      </c>
      <c r="F8" s="298">
        <f t="shared" si="4"/>
        <v>1834.8870000000002</v>
      </c>
      <c r="G8" s="298">
        <f t="shared" si="4"/>
        <v>1989.5350000000001</v>
      </c>
      <c r="H8" s="298">
        <f t="shared" si="4"/>
        <v>2159.0370000000003</v>
      </c>
      <c r="I8" s="298">
        <f t="shared" si="4"/>
        <v>2360.0140000000001</v>
      </c>
      <c r="J8" s="298">
        <f t="shared" si="4"/>
        <v>2661.0079999999998</v>
      </c>
      <c r="K8" s="298">
        <f t="shared" si="4"/>
        <v>2817.761</v>
      </c>
      <c r="L8" s="298">
        <f t="shared" si="4"/>
        <v>3100.7719999999999</v>
      </c>
      <c r="M8" s="298">
        <f t="shared" si="4"/>
        <v>3494.8230000000003</v>
      </c>
      <c r="N8" s="298">
        <f t="shared" si="4"/>
        <v>4220.5200000000004</v>
      </c>
      <c r="O8" s="299">
        <f>O11+O14</f>
        <v>4812.96</v>
      </c>
      <c r="P8" s="298">
        <f>P11+P14</f>
        <v>5001.63</v>
      </c>
      <c r="Q8" s="298">
        <f>Q11+Q14</f>
        <v>5688.95</v>
      </c>
      <c r="R8" s="297">
        <f>Q8*(1+R9)</f>
        <v>6191.3400658270239</v>
      </c>
      <c r="S8" s="297">
        <f t="shared" ref="S8:U8" si="5">R8*(1+S9)</f>
        <v>6738.0961004605379</v>
      </c>
      <c r="T8" s="297">
        <f t="shared" si="5"/>
        <v>7333.1360539597217</v>
      </c>
      <c r="U8" s="297">
        <f t="shared" si="5"/>
        <v>7980.7238697899447</v>
      </c>
    </row>
    <row r="9" spans="1:22" x14ac:dyDescent="0.5">
      <c r="A9" s="275" t="s">
        <v>627</v>
      </c>
      <c r="B9" s="276"/>
      <c r="C9" s="279">
        <f>(C8/B8)-1</f>
        <v>0.10092923714862234</v>
      </c>
      <c r="D9" s="279">
        <f t="shared" ref="D9" si="6">(D8/C8)-1</f>
        <v>0.15069240512232485</v>
      </c>
      <c r="E9" s="279">
        <f t="shared" ref="E9" si="7">(E8/D8)-1</f>
        <v>0.11389396932780183</v>
      </c>
      <c r="F9" s="279">
        <f>(F8/E8)-1</f>
        <v>5.972296500446439E-2</v>
      </c>
      <c r="G9" s="279">
        <f t="shared" ref="G9" si="8">(G8/F8)-1</f>
        <v>8.4282029356576027E-2</v>
      </c>
      <c r="H9" s="279">
        <f t="shared" ref="H9" si="9">(H8/G8)-1</f>
        <v>8.5196792215266548E-2</v>
      </c>
      <c r="I9" s="279">
        <f t="shared" ref="I9" si="10">(I8/H8)-1</f>
        <v>9.3086408431166223E-2</v>
      </c>
      <c r="J9" s="279">
        <f t="shared" ref="J9" si="11">(J8/I8)-1</f>
        <v>0.12753907392074781</v>
      </c>
      <c r="K9" s="279">
        <f t="shared" ref="K9" si="12">(K8/J8)-1</f>
        <v>5.8907376452832949E-2</v>
      </c>
      <c r="L9" s="279">
        <f t="shared" ref="L9" si="13">(L8/K8)-1</f>
        <v>0.1004382557640624</v>
      </c>
      <c r="M9" s="279">
        <f t="shared" ref="M9" si="14">(M8/L8)-1</f>
        <v>0.12708157839402578</v>
      </c>
      <c r="N9" s="279">
        <f t="shared" ref="N9" si="15">(N8/M8)-1</f>
        <v>0.20764914274628499</v>
      </c>
      <c r="O9" s="287">
        <f>(O8/N8)-1</f>
        <v>0.14037132865144564</v>
      </c>
      <c r="P9" s="279">
        <f>(P8/O8)-1</f>
        <v>3.9200408895980976E-2</v>
      </c>
      <c r="Q9" s="279">
        <f>(Q8/P8)-1</f>
        <v>0.13741920134036301</v>
      </c>
      <c r="R9" s="279">
        <f>AVERAGE(P9:Q9)</f>
        <v>8.8309805118171991E-2</v>
      </c>
      <c r="S9" s="284">
        <f>$R$9</f>
        <v>8.8309805118171991E-2</v>
      </c>
      <c r="T9" s="284">
        <f>$R$9</f>
        <v>8.8309805118171991E-2</v>
      </c>
      <c r="U9" s="284">
        <f>$R$9</f>
        <v>8.8309805118171991E-2</v>
      </c>
    </row>
    <row r="10" spans="1:22" x14ac:dyDescent="0.5">
      <c r="A10" s="275"/>
      <c r="B10" s="276"/>
      <c r="C10" s="276"/>
      <c r="D10" s="276"/>
      <c r="E10" s="276"/>
      <c r="F10" s="276"/>
      <c r="G10" s="276"/>
      <c r="H10" s="276"/>
      <c r="I10" s="276"/>
      <c r="J10" s="276"/>
      <c r="K10" s="276"/>
      <c r="L10" s="276"/>
      <c r="M10" s="276"/>
      <c r="N10" s="276"/>
      <c r="O10" s="289"/>
      <c r="P10" s="276"/>
      <c r="Q10" s="276"/>
      <c r="R10" s="279"/>
      <c r="S10" s="277"/>
      <c r="T10" s="277"/>
      <c r="U10" s="277"/>
    </row>
    <row r="11" spans="1:22" x14ac:dyDescent="0.5">
      <c r="A11" s="280" t="s">
        <v>629</v>
      </c>
      <c r="B11" s="283">
        <v>1158.4100000000001</v>
      </c>
      <c r="C11" s="283">
        <v>1260.3399999999999</v>
      </c>
      <c r="D11" s="283">
        <v>1449.3</v>
      </c>
      <c r="E11" s="283">
        <v>1599.46</v>
      </c>
      <c r="F11" s="283">
        <v>1699.13</v>
      </c>
      <c r="G11" s="283">
        <v>1792.21</v>
      </c>
      <c r="H11" s="283">
        <v>1910.9</v>
      </c>
      <c r="I11" s="283">
        <v>2021.81</v>
      </c>
      <c r="J11" s="283">
        <v>2303.31</v>
      </c>
      <c r="K11" s="283">
        <v>2197.9699999999998</v>
      </c>
      <c r="L11" s="283">
        <v>2365.1999999999998</v>
      </c>
      <c r="M11" s="283">
        <v>2633.76</v>
      </c>
      <c r="N11" s="283">
        <v>2993.79</v>
      </c>
      <c r="O11" s="290">
        <v>3383.63</v>
      </c>
      <c r="P11" s="283">
        <v>3339.5</v>
      </c>
      <c r="Q11" s="283">
        <v>3810.22</v>
      </c>
      <c r="R11" s="273">
        <f>Q11*(1+R12)</f>
        <v>4053.9083862352877</v>
      </c>
      <c r="S11" s="273">
        <f t="shared" ref="S11:U11" si="16">R11*(1+S12)</f>
        <v>4313.1822319941621</v>
      </c>
      <c r="T11" s="273">
        <f t="shared" si="16"/>
        <v>4589.0383289264582</v>
      </c>
      <c r="U11" s="273">
        <f t="shared" si="16"/>
        <v>4882.5372200004567</v>
      </c>
    </row>
    <row r="12" spans="1:22" x14ac:dyDescent="0.5">
      <c r="A12" s="281" t="s">
        <v>627</v>
      </c>
      <c r="B12" s="273"/>
      <c r="C12" s="279">
        <f>(C11/B11)-1</f>
        <v>8.7991298417658514E-2</v>
      </c>
      <c r="D12" s="279">
        <f t="shared" ref="D12" si="17">(D11/C11)-1</f>
        <v>0.14992779726105665</v>
      </c>
      <c r="E12" s="279">
        <f t="shared" ref="E12" si="18">(E11/D11)-1</f>
        <v>0.10360863865314296</v>
      </c>
      <c r="F12" s="279">
        <f t="shared" ref="F12" si="19">(F11/E11)-1</f>
        <v>6.2314781238668182E-2</v>
      </c>
      <c r="G12" s="279">
        <f t="shared" ref="G12" si="20">(G11/F11)-1</f>
        <v>5.4780976146616256E-2</v>
      </c>
      <c r="H12" s="279">
        <f>(H11/G11)-1</f>
        <v>6.6225498128009486E-2</v>
      </c>
      <c r="I12" s="279">
        <f t="shared" ref="I12" si="21">(I11/H11)-1</f>
        <v>5.8040713799780042E-2</v>
      </c>
      <c r="J12" s="279">
        <f t="shared" ref="J12" si="22">(J11/I11)-1</f>
        <v>0.1392316785454617</v>
      </c>
      <c r="K12" s="279">
        <f t="shared" ref="K12" si="23">(K11/J11)-1</f>
        <v>-4.5734182545988267E-2</v>
      </c>
      <c r="L12" s="279">
        <f t="shared" ref="L12" si="24">(L11/K11)-1</f>
        <v>7.608384099873966E-2</v>
      </c>
      <c r="M12" s="279">
        <f t="shared" ref="M12" si="25">(M11/L11)-1</f>
        <v>0.11354642313546437</v>
      </c>
      <c r="N12" s="279">
        <f t="shared" ref="N12" si="26">(N11/M11)-1</f>
        <v>0.13669810461089837</v>
      </c>
      <c r="O12" s="287">
        <f>(O11/N11)-1</f>
        <v>0.13021621423012308</v>
      </c>
      <c r="P12" s="279">
        <f>(P11/O11)-1</f>
        <v>-1.3042206151381852E-2</v>
      </c>
      <c r="Q12" s="279">
        <f t="shared" ref="Q12" si="27">(Q11/P11)-1</f>
        <v>0.14095523281928424</v>
      </c>
      <c r="R12" s="279">
        <f>AVERAGE(P12:Q12)</f>
        <v>6.3956513333951193E-2</v>
      </c>
      <c r="S12" s="284">
        <f>$R$12</f>
        <v>6.3956513333951193E-2</v>
      </c>
      <c r="T12" s="284">
        <f>$R$12</f>
        <v>6.3956513333951193E-2</v>
      </c>
      <c r="U12" s="284">
        <f>$R$12</f>
        <v>6.3956513333951193E-2</v>
      </c>
    </row>
    <row r="13" spans="1:22" x14ac:dyDescent="0.5">
      <c r="A13" s="278"/>
      <c r="B13" s="273"/>
      <c r="C13" s="273"/>
      <c r="D13" s="273"/>
      <c r="E13" s="273"/>
      <c r="F13" s="273"/>
      <c r="G13" s="273"/>
      <c r="H13" s="273"/>
      <c r="I13" s="273"/>
      <c r="J13" s="273"/>
      <c r="K13" s="273"/>
      <c r="L13" s="273"/>
      <c r="M13" s="273"/>
      <c r="N13" s="273"/>
      <c r="O13" s="288"/>
      <c r="P13" s="273"/>
      <c r="Q13" s="273"/>
      <c r="R13" s="279"/>
      <c r="S13" s="274"/>
      <c r="T13" s="277"/>
      <c r="U13" s="277"/>
    </row>
    <row r="14" spans="1:22" x14ac:dyDescent="0.5">
      <c r="A14" s="280" t="s">
        <v>630</v>
      </c>
      <c r="B14" s="283">
        <v>68.617999999999995</v>
      </c>
      <c r="C14" s="283">
        <v>90.531000000000006</v>
      </c>
      <c r="D14" s="283">
        <v>105.137</v>
      </c>
      <c r="E14" s="283">
        <v>132.018</v>
      </c>
      <c r="F14" s="283">
        <v>135.75700000000001</v>
      </c>
      <c r="G14" s="283">
        <v>197.32499999999999</v>
      </c>
      <c r="H14" s="283">
        <v>248.137</v>
      </c>
      <c r="I14" s="283">
        <v>338.20400000000001</v>
      </c>
      <c r="J14" s="283">
        <v>357.69799999999998</v>
      </c>
      <c r="K14" s="283">
        <v>619.79100000000005</v>
      </c>
      <c r="L14" s="283">
        <v>735.572</v>
      </c>
      <c r="M14" s="283">
        <v>861.06299999999999</v>
      </c>
      <c r="N14" s="283">
        <v>1226.73</v>
      </c>
      <c r="O14" s="290">
        <v>1429.33</v>
      </c>
      <c r="P14" s="283">
        <v>1662.13</v>
      </c>
      <c r="Q14" s="283">
        <v>1878.73</v>
      </c>
      <c r="R14" s="273">
        <f>Q14*(1+R15)</f>
        <v>2154.1407624467884</v>
      </c>
      <c r="S14" s="273">
        <f t="shared" ref="S14:U14" si="28">R14*(1+S15)</f>
        <v>2469.9251219892326</v>
      </c>
      <c r="T14" s="273">
        <f t="shared" si="28"/>
        <v>2832.0016103795447</v>
      </c>
      <c r="U14" s="273">
        <f t="shared" si="28"/>
        <v>3247.156381296687</v>
      </c>
    </row>
    <row r="15" spans="1:22" x14ac:dyDescent="0.5">
      <c r="A15" s="281" t="s">
        <v>627</v>
      </c>
      <c r="B15" s="273"/>
      <c r="C15" s="279">
        <f>(C14/B14)-1</f>
        <v>0.31934769302515398</v>
      </c>
      <c r="D15" s="279">
        <f t="shared" ref="D15" si="29">(D14/C14)-1</f>
        <v>0.16133700058543465</v>
      </c>
      <c r="E15" s="279">
        <f t="shared" ref="E15" si="30">(E14/D14)-1</f>
        <v>0.25567592759922775</v>
      </c>
      <c r="F15" s="279">
        <f t="shared" ref="F15" si="31">(F14/E14)-1</f>
        <v>2.8321895499098693E-2</v>
      </c>
      <c r="G15" s="279">
        <f t="shared" ref="G15" si="32">(G14/F14)-1</f>
        <v>0.45351620910892243</v>
      </c>
      <c r="H15" s="279">
        <f t="shared" ref="H15" si="33">(H14/G14)-1</f>
        <v>0.25750411757253278</v>
      </c>
      <c r="I15" s="279">
        <f t="shared" ref="I15" si="34">(I14/H14)-1</f>
        <v>0.36297287385597476</v>
      </c>
      <c r="J15" s="279">
        <f t="shared" ref="J15" si="35">(J14/I14)-1</f>
        <v>5.7639767714160683E-2</v>
      </c>
      <c r="K15" s="279">
        <f t="shared" ref="K15" si="36">(K14/J14)-1</f>
        <v>0.7327214577660488</v>
      </c>
      <c r="L15" s="279">
        <f t="shared" ref="L15" si="37">(L14/K14)-1</f>
        <v>0.18680652026247557</v>
      </c>
      <c r="M15" s="279">
        <f t="shared" ref="M15" si="38">(M14/L14)-1</f>
        <v>0.17060328560630356</v>
      </c>
      <c r="N15" s="279">
        <f t="shared" ref="N15" si="39">(N14/M14)-1</f>
        <v>0.42466927507046526</v>
      </c>
      <c r="O15" s="287">
        <f>(O14/N14)-1</f>
        <v>0.16515451647876866</v>
      </c>
      <c r="P15" s="279">
        <f>(P14/O14)-1</f>
        <v>0.16287351416397899</v>
      </c>
      <c r="Q15" s="279">
        <f t="shared" ref="Q15" si="40">(Q14/P14)-1</f>
        <v>0.13031471665874506</v>
      </c>
      <c r="R15" s="279">
        <f>AVERAGE(P15:Q15)</f>
        <v>0.14659411541136202</v>
      </c>
      <c r="S15" s="284">
        <f>$R$15</f>
        <v>0.14659411541136202</v>
      </c>
      <c r="T15" s="284">
        <f>$R$15</f>
        <v>0.14659411541136202</v>
      </c>
      <c r="U15" s="284">
        <f>$R$15</f>
        <v>0.14659411541136202</v>
      </c>
    </row>
    <row r="16" spans="1:22" x14ac:dyDescent="0.5">
      <c r="A16" s="278"/>
      <c r="B16" s="273"/>
      <c r="C16" s="273"/>
      <c r="D16" s="273"/>
      <c r="E16" s="273"/>
      <c r="F16" s="273"/>
      <c r="G16" s="273"/>
      <c r="H16" s="273"/>
      <c r="I16" s="273"/>
      <c r="J16" s="273"/>
      <c r="K16" s="273"/>
      <c r="L16" s="273"/>
      <c r="M16" s="273"/>
      <c r="N16" s="273"/>
      <c r="O16" s="288"/>
      <c r="P16" s="273"/>
      <c r="Q16" s="273"/>
      <c r="R16" s="277"/>
      <c r="S16" s="274"/>
      <c r="U16" s="277"/>
    </row>
    <row r="17" spans="1:21" s="282" customFormat="1" x14ac:dyDescent="0.5">
      <c r="A17" s="294" t="s">
        <v>631</v>
      </c>
      <c r="B17" s="295">
        <v>153.625</v>
      </c>
      <c r="C17" s="295">
        <v>184.77</v>
      </c>
      <c r="D17" s="295">
        <v>201.58</v>
      </c>
      <c r="E17" s="295">
        <v>230.732</v>
      </c>
      <c r="F17" s="295">
        <v>222.58</v>
      </c>
      <c r="G17" s="295">
        <v>252.67400000000001</v>
      </c>
      <c r="H17" s="295">
        <v>263.49299999999999</v>
      </c>
      <c r="I17" s="295">
        <v>364.86399999999998</v>
      </c>
      <c r="J17" s="295">
        <v>460.04300000000001</v>
      </c>
      <c r="K17" s="295">
        <v>542.93799999999999</v>
      </c>
      <c r="L17" s="295">
        <v>584.51</v>
      </c>
      <c r="M17" s="295">
        <v>709.36699999999996</v>
      </c>
      <c r="N17" s="295">
        <v>861.02800000000002</v>
      </c>
      <c r="O17" s="296">
        <v>1029.6600000000001</v>
      </c>
      <c r="P17" s="295">
        <v>1067.04</v>
      </c>
      <c r="Q17" s="295">
        <v>1162.8699999999999</v>
      </c>
      <c r="R17" s="297">
        <f>Q17*(1+R18)</f>
        <v>1236.1961851062294</v>
      </c>
      <c r="S17" s="297">
        <f t="shared" ref="S17:U17" si="41">R17*(1+S18)</f>
        <v>1314.146042181151</v>
      </c>
      <c r="T17" s="297">
        <f t="shared" si="41"/>
        <v>1397.0111224958844</v>
      </c>
      <c r="U17" s="297">
        <f t="shared" si="41"/>
        <v>1485.1013614422795</v>
      </c>
    </row>
    <row r="18" spans="1:21" x14ac:dyDescent="0.5">
      <c r="C18" s="279">
        <f>(C17/B17)-1</f>
        <v>0.2027339300244102</v>
      </c>
      <c r="D18" s="279">
        <f t="shared" ref="D18" si="42">(D17/C17)-1</f>
        <v>9.0977972614602054E-2</v>
      </c>
      <c r="E18" s="279">
        <f t="shared" ref="E18" si="43">(E17/D17)-1</f>
        <v>0.14461752157952179</v>
      </c>
      <c r="F18" s="279">
        <f t="shared" ref="F18" si="44">(F17/E17)-1</f>
        <v>-3.5331033406722945E-2</v>
      </c>
      <c r="G18" s="279">
        <f t="shared" ref="G18" si="45">(G17/F17)-1</f>
        <v>0.13520531943570857</v>
      </c>
      <c r="H18" s="279">
        <f t="shared" ref="H18" si="46">(H17/G17)-1</f>
        <v>4.2818018474397812E-2</v>
      </c>
      <c r="I18" s="279">
        <f t="shared" ref="I18" si="47">(I17/H17)-1</f>
        <v>0.3847198976822912</v>
      </c>
      <c r="J18" s="279">
        <f t="shared" ref="J18" si="48">(J17/I17)-1</f>
        <v>0.26086158130152626</v>
      </c>
      <c r="K18" s="279">
        <f t="shared" ref="K18" si="49">(K17/J17)-1</f>
        <v>0.18018967792141161</v>
      </c>
      <c r="L18" s="279">
        <f t="shared" ref="L18" si="50">(L17/K17)-1</f>
        <v>7.6568595309224996E-2</v>
      </c>
      <c r="M18" s="279">
        <f t="shared" ref="M18" si="51">(M17/L17)-1</f>
        <v>0.21360969016783282</v>
      </c>
      <c r="N18" s="279">
        <f>(N17/M17)-1</f>
        <v>0.213797653400849</v>
      </c>
      <c r="O18" s="287">
        <f>(O17/N17)-1</f>
        <v>0.19584961232387332</v>
      </c>
      <c r="P18" s="279">
        <f>(P17/O17)-1</f>
        <v>3.6303245731600597E-2</v>
      </c>
      <c r="Q18" s="279">
        <f t="shared" ref="Q18" si="52">(Q17/P17)-1</f>
        <v>8.980919178287583E-2</v>
      </c>
      <c r="R18" s="279">
        <f>AVERAGE(P18:Q18)</f>
        <v>6.3056218757238214E-2</v>
      </c>
      <c r="S18" s="310">
        <f>$R$18</f>
        <v>6.3056218757238214E-2</v>
      </c>
      <c r="T18" s="310">
        <f>$R$18</f>
        <v>6.3056218757238214E-2</v>
      </c>
      <c r="U18" s="285">
        <f>$R$18</f>
        <v>6.3056218757238214E-2</v>
      </c>
    </row>
    <row r="19" spans="1:21" x14ac:dyDescent="0.5">
      <c r="C19" s="279"/>
      <c r="D19" s="279"/>
      <c r="E19" s="279"/>
      <c r="F19" s="279"/>
      <c r="G19" s="279"/>
      <c r="H19" s="279"/>
      <c r="I19" s="279"/>
      <c r="J19" s="279"/>
      <c r="K19" s="279"/>
      <c r="L19" s="279"/>
      <c r="M19" s="279"/>
      <c r="N19" s="2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D369-1581-E644-9397-745D97829D37}">
  <dimension ref="B2:O35"/>
  <sheetViews>
    <sheetView zoomScale="80" zoomScaleNormal="80" workbookViewId="0">
      <selection activeCell="C17" sqref="C17"/>
    </sheetView>
  </sheetViews>
  <sheetFormatPr baseColWidth="10" defaultColWidth="11.46875" defaultRowHeight="21" x14ac:dyDescent="1.3"/>
  <cols>
    <col min="1" max="1" width="11.46875" style="2"/>
    <col min="2" max="2" width="20" style="2" bestFit="1" customWidth="1"/>
    <col min="3" max="4" width="17.3515625" style="2" bestFit="1" customWidth="1"/>
    <col min="5" max="5" width="17.46875" style="2" bestFit="1" customWidth="1"/>
    <col min="6" max="6" width="17" style="2" bestFit="1" customWidth="1"/>
    <col min="7" max="11" width="10.46875" style="2" bestFit="1" customWidth="1"/>
    <col min="12" max="16384" width="11.46875" style="2"/>
  </cols>
  <sheetData>
    <row r="2" spans="2:15" ht="27" x14ac:dyDescent="1.65">
      <c r="B2" s="6" t="s">
        <v>632</v>
      </c>
      <c r="C2" s="6"/>
      <c r="D2" s="6"/>
      <c r="E2" s="6"/>
      <c r="F2" s="6"/>
      <c r="G2" s="7"/>
      <c r="H2" s="6"/>
      <c r="I2" s="6"/>
      <c r="J2" s="6"/>
      <c r="K2" s="6"/>
    </row>
    <row r="3" spans="2:15" x14ac:dyDescent="1.3">
      <c r="B3" s="5" t="s">
        <v>457</v>
      </c>
      <c r="C3" s="8">
        <v>2020</v>
      </c>
      <c r="D3" s="8">
        <v>2021</v>
      </c>
      <c r="E3" s="8">
        <v>2022</v>
      </c>
      <c r="F3" s="8">
        <v>2023</v>
      </c>
      <c r="G3" s="9">
        <v>2024</v>
      </c>
      <c r="H3" s="8">
        <v>2025</v>
      </c>
      <c r="I3" s="8">
        <v>2026</v>
      </c>
      <c r="J3" s="8">
        <v>2027</v>
      </c>
      <c r="K3" s="8">
        <v>2028</v>
      </c>
    </row>
    <row r="4" spans="2:15" x14ac:dyDescent="1.3">
      <c r="B4" s="2" t="s">
        <v>596</v>
      </c>
      <c r="C4" s="10" t="s">
        <v>597</v>
      </c>
      <c r="D4" s="10" t="s">
        <v>597</v>
      </c>
      <c r="E4" s="10" t="s">
        <v>597</v>
      </c>
      <c r="F4" s="10" t="s">
        <v>597</v>
      </c>
      <c r="G4" s="11" t="s">
        <v>598</v>
      </c>
      <c r="H4" s="10" t="s">
        <v>598</v>
      </c>
      <c r="I4" s="10" t="s">
        <v>598</v>
      </c>
      <c r="J4" s="10" t="s">
        <v>598</v>
      </c>
      <c r="K4" s="10" t="s">
        <v>598</v>
      </c>
      <c r="O4" s="1" t="s">
        <v>633</v>
      </c>
    </row>
    <row r="5" spans="2:15" x14ac:dyDescent="1.3">
      <c r="B5" s="5" t="s">
        <v>579</v>
      </c>
      <c r="C5" s="12">
        <f>'Income Statement'!C8</f>
        <v>3685281</v>
      </c>
      <c r="D5" s="12">
        <f>'Income Statement'!D8</f>
        <v>4204193</v>
      </c>
      <c r="E5" s="12">
        <f>'Income Statement'!E8</f>
        <v>5081542</v>
      </c>
      <c r="F5" s="12">
        <f>'Income Statement'!F8</f>
        <v>5842619</v>
      </c>
      <c r="G5" s="13"/>
    </row>
    <row r="6" spans="2:15" x14ac:dyDescent="1.3">
      <c r="B6" s="14" t="s">
        <v>634</v>
      </c>
      <c r="C6" s="15"/>
      <c r="D6" s="3">
        <f>(D5/C5)-1</f>
        <v>0.14080663048489384</v>
      </c>
      <c r="E6" s="3">
        <f>(E5/D5)-1</f>
        <v>0.20868428257218441</v>
      </c>
      <c r="F6" s="3">
        <f>(F5/E5)-1</f>
        <v>0.14977284454207007</v>
      </c>
      <c r="G6" s="13"/>
    </row>
    <row r="7" spans="2:15" x14ac:dyDescent="1.3">
      <c r="B7" s="14"/>
      <c r="C7" s="15"/>
      <c r="D7" s="3"/>
      <c r="E7" s="3"/>
      <c r="F7" s="3"/>
      <c r="G7" s="13"/>
    </row>
    <row r="8" spans="2:15" x14ac:dyDescent="1.3">
      <c r="B8" s="5" t="s">
        <v>583</v>
      </c>
      <c r="C8" s="12">
        <f>'Income Statement'!C19</f>
        <v>2270450</v>
      </c>
      <c r="D8" s="12">
        <f>'Income Statement'!D19</f>
        <v>2607626</v>
      </c>
      <c r="E8" s="12">
        <f>'Income Statement'!E19</f>
        <v>2855807</v>
      </c>
      <c r="F8" s="12">
        <f>'Income Statement'!F19</f>
        <v>3351167</v>
      </c>
      <c r="G8" s="13"/>
    </row>
    <row r="9" spans="2:15" x14ac:dyDescent="1.3">
      <c r="B9" s="14" t="s">
        <v>635</v>
      </c>
      <c r="C9" s="15"/>
      <c r="D9" s="3">
        <f>(D8/C8)-1</f>
        <v>0.14850624325574224</v>
      </c>
      <c r="E9" s="3">
        <f t="shared" ref="E9:F9" si="0">(E8/D8)-1</f>
        <v>9.5175074953233407E-2</v>
      </c>
      <c r="F9" s="3">
        <f t="shared" si="0"/>
        <v>0.17345709986704283</v>
      </c>
      <c r="G9" s="13"/>
    </row>
    <row r="10" spans="2:15" x14ac:dyDescent="1.3">
      <c r="B10" s="14" t="s">
        <v>636</v>
      </c>
      <c r="C10" s="3">
        <f>C8/C5</f>
        <v>0.61608599181446411</v>
      </c>
      <c r="D10" s="3">
        <f>D8/D5</f>
        <v>0.62024412295058762</v>
      </c>
      <c r="E10" s="3">
        <f>E8/E5</f>
        <v>0.56199614211591675</v>
      </c>
      <c r="F10" s="3">
        <f>F8/F5</f>
        <v>0.57357274195014252</v>
      </c>
      <c r="G10" s="13"/>
    </row>
    <row r="11" spans="2:15" x14ac:dyDescent="1.3">
      <c r="B11" s="14"/>
      <c r="C11" s="3"/>
      <c r="D11" s="3"/>
      <c r="E11" s="3"/>
      <c r="F11" s="3"/>
      <c r="G11" s="13"/>
    </row>
    <row r="12" spans="2:15" x14ac:dyDescent="1.3">
      <c r="B12" s="5" t="s">
        <v>584</v>
      </c>
      <c r="C12" s="12">
        <f>'Income Statement'!C20</f>
        <v>620141</v>
      </c>
      <c r="D12" s="12">
        <f>'Income Statement'!D20</f>
        <v>734790</v>
      </c>
      <c r="E12" s="12">
        <f>'Income Statement'!E20</f>
        <v>1162038</v>
      </c>
      <c r="F12" s="12">
        <f>'Income Statement'!F20</f>
        <v>1269259</v>
      </c>
      <c r="G12" s="13"/>
    </row>
    <row r="13" spans="2:15" x14ac:dyDescent="1.3">
      <c r="B13" s="14" t="s">
        <v>637</v>
      </c>
      <c r="C13" s="15"/>
      <c r="D13" s="16">
        <f>(D12/C12)-1</f>
        <v>0.18487569762360501</v>
      </c>
      <c r="E13" s="16">
        <f t="shared" ref="E13:F13" si="1">(E12/D12)-1</f>
        <v>0.58145592618299102</v>
      </c>
      <c r="F13" s="16">
        <f t="shared" si="1"/>
        <v>9.2269788079219373E-2</v>
      </c>
      <c r="G13" s="13"/>
    </row>
    <row r="14" spans="2:15" x14ac:dyDescent="1.3">
      <c r="B14" s="14" t="s">
        <v>636</v>
      </c>
      <c r="C14" s="3">
        <f>C12/C5</f>
        <v>0.16827509218428663</v>
      </c>
      <c r="D14" s="3">
        <f>D12/D5</f>
        <v>0.17477551577674955</v>
      </c>
      <c r="E14" s="3">
        <f>E12/E5</f>
        <v>0.2286782240508885</v>
      </c>
      <c r="F14" s="3">
        <f>F12/F5</f>
        <v>0.21724144600221237</v>
      </c>
      <c r="G14" s="13"/>
    </row>
    <row r="15" spans="2:15" x14ac:dyDescent="1.3">
      <c r="B15" s="5" t="s">
        <v>591</v>
      </c>
      <c r="C15" s="12">
        <f>'Income Statement'!C23</f>
        <v>-25288</v>
      </c>
      <c r="D15" s="12">
        <f>'Income Statement'!D23</f>
        <v>49155</v>
      </c>
      <c r="E15" s="12">
        <f>'Income Statement'!E23</f>
        <v>137078</v>
      </c>
      <c r="F15" s="12">
        <f>'Income Statement'!F23</f>
        <v>83657</v>
      </c>
      <c r="G15" s="13"/>
    </row>
    <row r="16" spans="2:15" x14ac:dyDescent="1.3">
      <c r="B16" s="14" t="s">
        <v>638</v>
      </c>
      <c r="C16" s="15"/>
      <c r="D16" s="16">
        <f>(D15/C15)-1</f>
        <v>-2.943807339449541</v>
      </c>
      <c r="E16" s="16">
        <f t="shared" ref="E16:F16" si="2">(E15/D15)-1</f>
        <v>1.7886888414199982</v>
      </c>
      <c r="F16" s="16">
        <f t="shared" si="2"/>
        <v>-0.38971242650169979</v>
      </c>
      <c r="G16" s="13"/>
    </row>
    <row r="17" spans="2:15" x14ac:dyDescent="1.3">
      <c r="B17" s="14" t="s">
        <v>639</v>
      </c>
      <c r="C17" s="17">
        <f>'Income Statement'!C23/'Income Statement'!C22</f>
        <v>-3.962648806958767E-2</v>
      </c>
      <c r="D17" s="17">
        <f>'Income Statement'!D23/'Income Statement'!D22</f>
        <v>6.1023147952735772E-2</v>
      </c>
      <c r="E17" s="17">
        <f>'Income Statement'!E23/'Income Statement'!E22</f>
        <v>0.12288326278289649</v>
      </c>
      <c r="F17" s="18">
        <f>'Income Statement'!F23/'Income Statement'!F22</f>
        <v>6.4263448104214069E-2</v>
      </c>
      <c r="O17" s="4"/>
    </row>
    <row r="18" spans="2:15" x14ac:dyDescent="1.3">
      <c r="B18" s="5" t="s">
        <v>601</v>
      </c>
      <c r="C18" s="19">
        <f>C12-C15</f>
        <v>645429</v>
      </c>
      <c r="D18" s="19">
        <f t="shared" ref="D18:E18" si="3">D12-D15</f>
        <v>685635</v>
      </c>
      <c r="E18" s="19">
        <f t="shared" si="3"/>
        <v>1024960</v>
      </c>
      <c r="F18" s="19">
        <f>F12-F15</f>
        <v>1185602</v>
      </c>
      <c r="G18" s="13"/>
    </row>
    <row r="19" spans="2:15" x14ac:dyDescent="1.3">
      <c r="B19" s="14" t="s">
        <v>640</v>
      </c>
      <c r="C19" s="15"/>
      <c r="D19" s="20">
        <f>(D18/C18)-1</f>
        <v>6.2293451332369632E-2</v>
      </c>
      <c r="E19" s="20">
        <f t="shared" ref="E19:F19" si="4">(E18/D18)-1</f>
        <v>0.49490618186061086</v>
      </c>
      <c r="F19" s="20">
        <f t="shared" si="4"/>
        <v>0.1567300187324383</v>
      </c>
      <c r="G19" s="13"/>
    </row>
    <row r="20" spans="2:15" x14ac:dyDescent="1.3">
      <c r="B20" s="14" t="s">
        <v>636</v>
      </c>
      <c r="C20" s="3">
        <f>C18/C5</f>
        <v>0.17513698412685491</v>
      </c>
      <c r="D20" s="3">
        <f>D18/D5</f>
        <v>0.1630836167606958</v>
      </c>
      <c r="E20" s="3">
        <f>E18/E5</f>
        <v>0.20170255406724966</v>
      </c>
      <c r="F20" s="3">
        <f>F18/F5</f>
        <v>0.20292303845244744</v>
      </c>
      <c r="G20" s="13"/>
    </row>
    <row r="21" spans="2:15" x14ac:dyDescent="1.3">
      <c r="B21" s="5" t="s">
        <v>585</v>
      </c>
      <c r="C21" s="12">
        <f>'CAPEX e D&amp;A'!C6</f>
        <v>209986</v>
      </c>
      <c r="D21" s="12">
        <f>'CAPEX e D&amp;A'!D6</f>
        <v>203676</v>
      </c>
      <c r="E21" s="12">
        <f>'CAPEX e D&amp;A'!E6</f>
        <v>228405</v>
      </c>
      <c r="F21" s="12">
        <f>'CAPEX e D&amp;A'!F6</f>
        <v>247120</v>
      </c>
      <c r="G21" s="13"/>
    </row>
    <row r="22" spans="2:15" x14ac:dyDescent="1.3">
      <c r="B22" s="14" t="s">
        <v>641</v>
      </c>
      <c r="C22" s="15"/>
      <c r="D22" s="20">
        <f>(D21/C21)-1</f>
        <v>-3.0049622355776129E-2</v>
      </c>
      <c r="E22" s="20">
        <f t="shared" ref="E22" si="5">(E21/D21)-1</f>
        <v>0.12141342131620814</v>
      </c>
      <c r="F22" s="20">
        <f>(F21/E21)-1</f>
        <v>8.1937785950395137E-2</v>
      </c>
      <c r="G22" s="13"/>
    </row>
    <row r="23" spans="2:15" x14ac:dyDescent="1.3">
      <c r="B23" s="14" t="s">
        <v>636</v>
      </c>
      <c r="C23" s="3">
        <f>C21/C5</f>
        <v>5.6979644157392609E-2</v>
      </c>
      <c r="D23" s="3">
        <f>D21/D5</f>
        <v>4.8445920536949662E-2</v>
      </c>
      <c r="E23" s="3">
        <f>E21/E5</f>
        <v>4.4947970517610597E-2</v>
      </c>
      <c r="F23" s="3">
        <f>F21/F5</f>
        <v>4.2296100430303601E-2</v>
      </c>
      <c r="G23" s="13"/>
    </row>
    <row r="24" spans="2:15" x14ac:dyDescent="1.3">
      <c r="B24" s="14" t="s">
        <v>635</v>
      </c>
      <c r="C24" s="3">
        <f>C21/C8</f>
        <v>9.2486511484507483E-2</v>
      </c>
      <c r="D24" s="3">
        <f t="shared" ref="D24:F24" si="6">D21/D8</f>
        <v>7.8107826812587391E-2</v>
      </c>
      <c r="E24" s="3">
        <f t="shared" si="6"/>
        <v>7.9979144248893574E-2</v>
      </c>
      <c r="F24" s="3">
        <f t="shared" si="6"/>
        <v>7.3741475730693215E-2</v>
      </c>
      <c r="G24" s="13"/>
    </row>
    <row r="25" spans="2:15" x14ac:dyDescent="1.3">
      <c r="B25" s="5" t="s">
        <v>594</v>
      </c>
      <c r="C25" s="12">
        <f>'CAPEX e D&amp;A'!C5</f>
        <v>154717</v>
      </c>
      <c r="D25" s="12">
        <f>'CAPEX e D&amp;A'!D5</f>
        <v>93764</v>
      </c>
      <c r="E25" s="12">
        <f>'CAPEX e D&amp;A'!E5</f>
        <v>136589</v>
      </c>
      <c r="F25" s="12">
        <f>'CAPEX e D&amp;A'!F5</f>
        <v>189618</v>
      </c>
      <c r="G25" s="13"/>
    </row>
    <row r="26" spans="2:15" x14ac:dyDescent="1.3">
      <c r="B26" s="14" t="s">
        <v>642</v>
      </c>
      <c r="C26" s="15"/>
      <c r="D26" s="20">
        <f>(D25/C25)-1</f>
        <v>-0.3939644641506751</v>
      </c>
      <c r="E26" s="20">
        <f t="shared" ref="E26:F26" si="7">(E25/D25)-1</f>
        <v>0.45673179471865533</v>
      </c>
      <c r="F26" s="20">
        <f t="shared" si="7"/>
        <v>0.38823770581818451</v>
      </c>
      <c r="G26" s="13"/>
    </row>
    <row r="27" spans="2:15" x14ac:dyDescent="1.3">
      <c r="B27" s="14" t="s">
        <v>636</v>
      </c>
      <c r="C27" s="17">
        <f>C25/C5</f>
        <v>4.1982415994872575E-2</v>
      </c>
      <c r="D27" s="17">
        <f>D25/D5</f>
        <v>2.2302496579010525E-2</v>
      </c>
      <c r="E27" s="17">
        <f>E25/E5</f>
        <v>2.6879439351283528E-2</v>
      </c>
      <c r="F27" s="18">
        <f>F25/F5</f>
        <v>3.2454281205055474E-2</v>
      </c>
    </row>
    <row r="28" spans="2:15" x14ac:dyDescent="1.3">
      <c r="B28" s="14" t="s">
        <v>635</v>
      </c>
      <c r="C28" s="17">
        <f>C25/C8</f>
        <v>6.814376004756767E-2</v>
      </c>
      <c r="D28" s="17">
        <f>D25/D8</f>
        <v>3.5957610485552759E-2</v>
      </c>
      <c r="E28" s="17">
        <f>E25/E8</f>
        <v>4.7828512220888873E-2</v>
      </c>
      <c r="F28" s="18">
        <f t="shared" ref="F28" si="8">F25/F8</f>
        <v>5.6582677019677029E-2</v>
      </c>
    </row>
    <row r="29" spans="2:15" x14ac:dyDescent="1.3">
      <c r="B29" s="5" t="s">
        <v>503</v>
      </c>
      <c r="C29" s="12">
        <f>'[1]Balance Sheet'!C49</f>
        <v>0</v>
      </c>
      <c r="D29" s="12">
        <f>'[1]Balance Sheet'!D49</f>
        <v>-359574</v>
      </c>
      <c r="E29" s="12">
        <f>'[1]Balance Sheet'!E49</f>
        <v>-141419</v>
      </c>
      <c r="F29" s="21">
        <f>'[1]Balance Sheet'!F49</f>
        <v>181972</v>
      </c>
    </row>
    <row r="30" spans="2:15" x14ac:dyDescent="1.3">
      <c r="B30" s="14" t="s">
        <v>643</v>
      </c>
      <c r="C30" s="15"/>
      <c r="D30" s="17" t="e">
        <f>(D29/C29)-1</f>
        <v>#DIV/0!</v>
      </c>
      <c r="E30" s="17">
        <f t="shared" ref="E30" si="9">(E29/D29)-1</f>
        <v>-0.60670404423011681</v>
      </c>
      <c r="F30" s="18">
        <f>(F29/E29)-1</f>
        <v>-2.2867577906787631</v>
      </c>
    </row>
    <row r="31" spans="2:15" x14ac:dyDescent="1.3">
      <c r="B31" s="14" t="s">
        <v>636</v>
      </c>
      <c r="C31" s="17">
        <f>C29/C5</f>
        <v>0</v>
      </c>
      <c r="D31" s="17">
        <f>D29/D5</f>
        <v>-8.5527472216427744E-2</v>
      </c>
      <c r="E31" s="17">
        <f>E29/E5</f>
        <v>-2.7829938235283701E-2</v>
      </c>
      <c r="F31" s="18">
        <f>F29/F5</f>
        <v>3.114562150980579E-2</v>
      </c>
    </row>
    <row r="32" spans="2:15" x14ac:dyDescent="1.3">
      <c r="C32" s="15"/>
      <c r="D32" s="15"/>
      <c r="E32" s="15"/>
      <c r="F32" s="22"/>
    </row>
    <row r="33" spans="2:11" x14ac:dyDescent="1.3">
      <c r="B33" s="5" t="s">
        <v>644</v>
      </c>
      <c r="C33" s="19">
        <f>C18+C21-C25-C29</f>
        <v>700698</v>
      </c>
      <c r="D33" s="19">
        <f t="shared" ref="D33:F33" si="10">D18+D21-D25-D29</f>
        <v>1155121</v>
      </c>
      <c r="E33" s="19">
        <f t="shared" si="10"/>
        <v>1258195</v>
      </c>
      <c r="F33" s="23">
        <f t="shared" si="10"/>
        <v>1061132</v>
      </c>
    </row>
    <row r="34" spans="2:11" x14ac:dyDescent="1.3">
      <c r="B34" s="5" t="s">
        <v>455</v>
      </c>
      <c r="C34" s="15"/>
      <c r="D34" s="15"/>
      <c r="E34" s="15"/>
      <c r="F34" s="22"/>
      <c r="G34" s="24">
        <f>WACC!$C$27</f>
        <v>9.6031977806949248E-2</v>
      </c>
      <c r="H34" s="24">
        <f>WACC!$C$27</f>
        <v>9.6031977806949248E-2</v>
      </c>
      <c r="I34" s="24">
        <f>WACC!$C$27</f>
        <v>9.6031977806949248E-2</v>
      </c>
      <c r="J34" s="24">
        <f>WACC!$C$27</f>
        <v>9.6031977806949248E-2</v>
      </c>
      <c r="K34" s="24">
        <f>WACC!$C$27</f>
        <v>9.6031977806949248E-2</v>
      </c>
    </row>
    <row r="35" spans="2:11" x14ac:dyDescent="1.3">
      <c r="B35" s="5" t="s">
        <v>605</v>
      </c>
      <c r="F35"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480b3a-a398-4fa4-8563-f007c378114c" xsi:nil="true"/>
    <lcf76f155ced4ddcb4097134ff3c332f xmlns="7ef8cf87-9980-4f12-b1cb-6a8c07bb204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A511778B0BCC44A1465E592D5685F6" ma:contentTypeVersion="14" ma:contentTypeDescription="Create a new document." ma:contentTypeScope="" ma:versionID="b97cb8ab88de7051a1aa6155b5e7b6ad">
  <xsd:schema xmlns:xsd="http://www.w3.org/2001/XMLSchema" xmlns:xs="http://www.w3.org/2001/XMLSchema" xmlns:p="http://schemas.microsoft.com/office/2006/metadata/properties" xmlns:ns2="7ef8cf87-9980-4f12-b1cb-6a8c07bb2041" xmlns:ns3="07480b3a-a398-4fa4-8563-f007c378114c" targetNamespace="http://schemas.microsoft.com/office/2006/metadata/properties" ma:root="true" ma:fieldsID="79e10fb2ed71f092f18040af22f2da07" ns2:_="" ns3:_="">
    <xsd:import namespace="7ef8cf87-9980-4f12-b1cb-6a8c07bb2041"/>
    <xsd:import namespace="07480b3a-a398-4fa4-8563-f007c37811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SearchProperties"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f8cf87-9980-4f12-b1cb-6a8c07bb20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b077786-8f00-4196-abd9-789428f22ae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7480b3a-a398-4fa4-8563-f007c378114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e6bfab7-f79d-43d4-a473-94bdbfb8b2f7}" ma:internalName="TaxCatchAll" ma:showField="CatchAllData" ma:web="07480b3a-a398-4fa4-8563-f007c378114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721CEF-FC96-4D48-8835-4183312153E7}">
  <ds:schemaRefs>
    <ds:schemaRef ds:uri="http://purl.org/dc/elements/1.1/"/>
    <ds:schemaRef ds:uri="http://www.w3.org/XML/1998/namespace"/>
    <ds:schemaRef ds:uri="http://purl.org/dc/terms/"/>
    <ds:schemaRef ds:uri="http://schemas.openxmlformats.org/package/2006/metadata/core-properties"/>
    <ds:schemaRef ds:uri="07480b3a-a398-4fa4-8563-f007c378114c"/>
    <ds:schemaRef ds:uri="http://schemas.microsoft.com/office/2006/documentManagement/types"/>
    <ds:schemaRef ds:uri="7ef8cf87-9980-4f12-b1cb-6a8c07bb204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2B9F13D-41AF-4C81-A6BD-FA45322E4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f8cf87-9980-4f12-b1cb-6a8c07bb2041"/>
    <ds:schemaRef ds:uri="07480b3a-a398-4fa4-8563-f007c3781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68BB3C-4AA8-403C-AC58-E7B76AB8F7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Time Series</vt:lpstr>
      <vt:lpstr>WACC</vt:lpstr>
      <vt:lpstr>Balance Sheet</vt:lpstr>
      <vt:lpstr>Income Statement</vt:lpstr>
      <vt:lpstr>Cash Flow Statement</vt:lpstr>
      <vt:lpstr>Forecast</vt:lpstr>
      <vt:lpstr>Forecasting</vt:lpstr>
      <vt:lpstr>DCF</vt:lpstr>
      <vt:lpstr>CAPEX e D&amp;A</vt:lpstr>
      <vt:lpstr>Revenue forecasting</vt:lpstr>
      <vt:lpstr>DCF2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ALOSCARI ANDREA</dc:creator>
  <cp:keywords/>
  <dc:description/>
  <cp:lastModifiedBy>François</cp:lastModifiedBy>
  <cp:revision/>
  <dcterms:created xsi:type="dcterms:W3CDTF">2024-07-06T15:32:00Z</dcterms:created>
  <dcterms:modified xsi:type="dcterms:W3CDTF">2024-12-28T22:47:59Z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2024-07-06T15:32:03Z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6adf1ae3-4848-487e-b9f1-feda29902a9d</vt:lpwstr>
  </property>
  <property fmtid="{D5CDD505-2E9C-101B-9397-08002B2CF9AE}" pid="8" name="MSIP_Label_5f5fe31f-9de1-4167-a753-111c0df8115f_ContentBits">
    <vt:lpwstr>0</vt:lpwstr>
  </property>
  <property fmtid="{D5CDD505-2E9C-101B-9397-08002B2CF9AE}" pid="9" name="ContentTypeId">
    <vt:lpwstr>0x01010083A511778B0BCC44A1465E592D5685F6</vt:lpwstr>
  </property>
  <property fmtid="{D5CDD505-2E9C-101B-9397-08002B2CF9AE}" pid="10" name="MediaServiceImageTags">
    <vt:lpwstr/>
  </property>
</Properties>
</file>